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baseballstudies\winshares\"/>
    </mc:Choice>
  </mc:AlternateContent>
  <xr:revisionPtr revIDLastSave="0" documentId="13_ncr:1_{FD1CEF93-EA79-4ECC-9551-BC3AD9FC7907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1984Angels" sheetId="1" r:id="rId1"/>
    <sheet name="Change" sheetId="2" r:id="rId2"/>
    <sheet name="Differenc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3" l="1"/>
  <c r="G6" i="3"/>
  <c r="G5" i="3"/>
  <c r="G3" i="3"/>
  <c r="F6" i="3"/>
  <c r="D12" i="3"/>
  <c r="D10" i="3"/>
  <c r="D2" i="3"/>
  <c r="D3" i="3"/>
  <c r="D6" i="3"/>
  <c r="D5" i="3"/>
  <c r="C6" i="3"/>
  <c r="B6" i="3"/>
  <c r="BA32" i="2"/>
  <c r="BA33" i="2" s="1"/>
  <c r="BD29" i="2"/>
  <c r="BC29" i="2"/>
  <c r="BC27" i="2"/>
  <c r="BC26" i="2"/>
  <c r="BC25" i="2"/>
  <c r="BA29" i="2"/>
  <c r="BA25" i="2"/>
  <c r="D108" i="2"/>
  <c r="D105" i="2"/>
  <c r="D106" i="2" s="1"/>
  <c r="Z101" i="2"/>
  <c r="O101" i="2"/>
  <c r="O98" i="2"/>
  <c r="O95" i="2"/>
  <c r="J91" i="2"/>
  <c r="J78" i="2"/>
  <c r="J71" i="2"/>
  <c r="J63" i="2"/>
  <c r="AE61" i="2"/>
  <c r="AE58" i="2"/>
  <c r="AE59" i="2" s="1"/>
  <c r="AE60" i="2" s="1"/>
  <c r="AE57" i="2"/>
  <c r="J57" i="2"/>
  <c r="AD54" i="2"/>
  <c r="S48" i="2"/>
  <c r="AD52" i="2" s="1"/>
  <c r="R48" i="2"/>
  <c r="T101" i="2" s="1"/>
  <c r="J48" i="2"/>
  <c r="Z42" i="2"/>
  <c r="X42" i="2"/>
  <c r="AD53" i="2" s="1"/>
  <c r="W42" i="2"/>
  <c r="AD50" i="2" s="1"/>
  <c r="V42" i="2"/>
  <c r="U42" i="2"/>
  <c r="T42" i="2"/>
  <c r="AD49" i="2" s="1"/>
  <c r="S42" i="2"/>
  <c r="Q42" i="2"/>
  <c r="D95" i="2" s="1"/>
  <c r="D97" i="2" s="1"/>
  <c r="D98" i="2" s="1"/>
  <c r="P42" i="2"/>
  <c r="AD47" i="2" s="1"/>
  <c r="O42" i="2"/>
  <c r="O99" i="2" s="1"/>
  <c r="F42" i="2"/>
  <c r="E42" i="2"/>
  <c r="D99" i="2" s="1"/>
  <c r="D100" i="2" s="1"/>
  <c r="AP41" i="2"/>
  <c r="AQ41" i="2" s="1"/>
  <c r="AO41" i="2"/>
  <c r="AM41" i="2"/>
  <c r="AQ40" i="2"/>
  <c r="AP40" i="2"/>
  <c r="AO40" i="2"/>
  <c r="AM40" i="2"/>
  <c r="AP39" i="2"/>
  <c r="AQ39" i="2" s="1"/>
  <c r="AO39" i="2"/>
  <c r="AM39" i="2"/>
  <c r="AQ38" i="2"/>
  <c r="AP38" i="2"/>
  <c r="AO38" i="2"/>
  <c r="AM38" i="2"/>
  <c r="AP37" i="2"/>
  <c r="AQ37" i="2" s="1"/>
  <c r="AO37" i="2"/>
  <c r="AM37" i="2"/>
  <c r="AQ36" i="2"/>
  <c r="AP36" i="2"/>
  <c r="AO36" i="2"/>
  <c r="AM36" i="2"/>
  <c r="AP35" i="2"/>
  <c r="AQ35" i="2" s="1"/>
  <c r="AO35" i="2"/>
  <c r="AM35" i="2"/>
  <c r="AQ34" i="2"/>
  <c r="AP34" i="2"/>
  <c r="AO34" i="2"/>
  <c r="AM34" i="2"/>
  <c r="AQ33" i="2"/>
  <c r="AP33" i="2"/>
  <c r="AO33" i="2"/>
  <c r="AM33" i="2"/>
  <c r="AQ32" i="2"/>
  <c r="AP32" i="2"/>
  <c r="AO32" i="2"/>
  <c r="AM32" i="2"/>
  <c r="AP31" i="2"/>
  <c r="AQ31" i="2" s="1"/>
  <c r="AO31" i="2"/>
  <c r="AM31" i="2"/>
  <c r="AQ30" i="2"/>
  <c r="AP30" i="2"/>
  <c r="AO30" i="2"/>
  <c r="AM30" i="2"/>
  <c r="AP29" i="2"/>
  <c r="AQ29" i="2" s="1"/>
  <c r="AO29" i="2"/>
  <c r="AM29" i="2"/>
  <c r="AQ28" i="2"/>
  <c r="AP28" i="2"/>
  <c r="AO28" i="2"/>
  <c r="AM28" i="2"/>
  <c r="AP27" i="2"/>
  <c r="AQ27" i="2" s="1"/>
  <c r="AO27" i="2"/>
  <c r="AM27" i="2"/>
  <c r="AQ26" i="2"/>
  <c r="AP26" i="2"/>
  <c r="AO26" i="2"/>
  <c r="AM26" i="2"/>
  <c r="AP25" i="2"/>
  <c r="AQ25" i="2" s="1"/>
  <c r="AO25" i="2"/>
  <c r="AM25" i="2"/>
  <c r="AQ24" i="2"/>
  <c r="AP24" i="2"/>
  <c r="AO24" i="2"/>
  <c r="AM24" i="2"/>
  <c r="H21" i="2"/>
  <c r="D94" i="2" s="1"/>
  <c r="D96" i="2" s="1"/>
  <c r="AI20" i="2"/>
  <c r="AH20" i="2"/>
  <c r="AG20" i="2"/>
  <c r="AJ20" i="2" s="1"/>
  <c r="AE20" i="2"/>
  <c r="AL20" i="2" s="1"/>
  <c r="AL19" i="2"/>
  <c r="AI19" i="2"/>
  <c r="AH19" i="2"/>
  <c r="AG19" i="2"/>
  <c r="AJ19" i="2" s="1"/>
  <c r="AE19" i="2"/>
  <c r="AL18" i="2"/>
  <c r="AI18" i="2"/>
  <c r="AH18" i="2"/>
  <c r="AG18" i="2"/>
  <c r="AE18" i="2"/>
  <c r="AJ17" i="2"/>
  <c r="AI17" i="2"/>
  <c r="AH17" i="2"/>
  <c r="AG17" i="2"/>
  <c r="AE17" i="2"/>
  <c r="AL17" i="2" s="1"/>
  <c r="AJ16" i="2"/>
  <c r="AI16" i="2"/>
  <c r="AH16" i="2"/>
  <c r="AG16" i="2"/>
  <c r="AE16" i="2"/>
  <c r="AL16" i="2" s="1"/>
  <c r="AJ15" i="2"/>
  <c r="AI15" i="2"/>
  <c r="AH15" i="2"/>
  <c r="AG15" i="2"/>
  <c r="AE15" i="2"/>
  <c r="AL15" i="2" s="1"/>
  <c r="AL14" i="2"/>
  <c r="AI14" i="2"/>
  <c r="AJ14" i="2" s="1"/>
  <c r="AH14" i="2"/>
  <c r="AG14" i="2"/>
  <c r="AE14" i="2"/>
  <c r="AI13" i="2"/>
  <c r="AJ13" i="2" s="1"/>
  <c r="AH13" i="2"/>
  <c r="AG13" i="2"/>
  <c r="AE13" i="2"/>
  <c r="AL13" i="2" s="1"/>
  <c r="AI12" i="2"/>
  <c r="AJ12" i="2" s="1"/>
  <c r="AH12" i="2"/>
  <c r="AG12" i="2"/>
  <c r="AE12" i="2"/>
  <c r="AL12" i="2" s="1"/>
  <c r="AJ11" i="2"/>
  <c r="AI11" i="2"/>
  <c r="AH11" i="2"/>
  <c r="AG11" i="2"/>
  <c r="AE11" i="2"/>
  <c r="AL11" i="2" s="1"/>
  <c r="AL10" i="2"/>
  <c r="AI10" i="2"/>
  <c r="AH10" i="2"/>
  <c r="AG10" i="2"/>
  <c r="AE10" i="2"/>
  <c r="AL9" i="2"/>
  <c r="AI9" i="2"/>
  <c r="AJ9" i="2" s="1"/>
  <c r="AH9" i="2"/>
  <c r="AG9" i="2"/>
  <c r="AE9" i="2"/>
  <c r="AI8" i="2"/>
  <c r="AJ8" i="2" s="1"/>
  <c r="AH8" i="2"/>
  <c r="AG8" i="2"/>
  <c r="AE8" i="2"/>
  <c r="AL8" i="2" s="1"/>
  <c r="AL7" i="2"/>
  <c r="AI7" i="2"/>
  <c r="AH7" i="2"/>
  <c r="AG7" i="2"/>
  <c r="AJ7" i="2" s="1"/>
  <c r="AE7" i="2"/>
  <c r="AL6" i="2"/>
  <c r="AI6" i="2"/>
  <c r="AH6" i="2"/>
  <c r="AG6" i="2"/>
  <c r="AE6" i="2"/>
  <c r="AL5" i="2"/>
  <c r="AI5" i="2"/>
  <c r="AH5" i="2"/>
  <c r="AJ5" i="2" s="1"/>
  <c r="AG5" i="2"/>
  <c r="AE5" i="2"/>
  <c r="AI4" i="2"/>
  <c r="AH4" i="2"/>
  <c r="AG4" i="2"/>
  <c r="AJ4" i="2" s="1"/>
  <c r="AE4" i="2"/>
  <c r="AL4" i="2" s="1"/>
  <c r="AL3" i="2"/>
  <c r="AI3" i="2"/>
  <c r="AH3" i="2"/>
  <c r="AG3" i="2"/>
  <c r="AJ3" i="2" s="1"/>
  <c r="AE3" i="2"/>
  <c r="AL2" i="2"/>
  <c r="AI2" i="2"/>
  <c r="AH2" i="2"/>
  <c r="AG2" i="2"/>
  <c r="AE2" i="2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24" i="1"/>
  <c r="AP25" i="1"/>
  <c r="AQ25" i="1" s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24" i="1"/>
  <c r="D109" i="1"/>
  <c r="D108" i="1"/>
  <c r="F42" i="1"/>
  <c r="AD62" i="1"/>
  <c r="AE61" i="1"/>
  <c r="AD61" i="1"/>
  <c r="AE60" i="1"/>
  <c r="AE59" i="1"/>
  <c r="AE58" i="1"/>
  <c r="AE57" i="1"/>
  <c r="AD53" i="1"/>
  <c r="X42" i="1"/>
  <c r="AD54" i="1"/>
  <c r="AD52" i="1"/>
  <c r="S48" i="1"/>
  <c r="AD50" i="1"/>
  <c r="AD49" i="1"/>
  <c r="AD48" i="1"/>
  <c r="AD46" i="1"/>
  <c r="O103" i="1"/>
  <c r="Z101" i="1"/>
  <c r="W101" i="1"/>
  <c r="S101" i="1"/>
  <c r="R48" i="1"/>
  <c r="T101" i="1"/>
  <c r="J91" i="1"/>
  <c r="J78" i="1"/>
  <c r="J71" i="1"/>
  <c r="J63" i="1"/>
  <c r="J57" i="1"/>
  <c r="J48" i="1"/>
  <c r="O102" i="1"/>
  <c r="O100" i="1"/>
  <c r="O101" i="1"/>
  <c r="O99" i="1"/>
  <c r="O98" i="1"/>
  <c r="O97" i="1"/>
  <c r="O96" i="1"/>
  <c r="O42" i="1"/>
  <c r="O95" i="1"/>
  <c r="Z42" i="1"/>
  <c r="W42" i="1"/>
  <c r="V42" i="1"/>
  <c r="U42" i="1"/>
  <c r="T42" i="1"/>
  <c r="S42" i="1"/>
  <c r="P42" i="1"/>
  <c r="AD47" i="1" s="1"/>
  <c r="AD59" i="1" s="1"/>
  <c r="AM21" i="1"/>
  <c r="AM3" i="1"/>
  <c r="AM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" i="1"/>
  <c r="AL3" i="1"/>
  <c r="AL4" i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" i="1"/>
  <c r="D106" i="1"/>
  <c r="D105" i="1"/>
  <c r="AK21" i="1"/>
  <c r="AK3" i="1"/>
  <c r="AK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" i="1"/>
  <c r="AJ21" i="1"/>
  <c r="AJ3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" i="1"/>
  <c r="AI3" i="1"/>
  <c r="AI4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" i="1"/>
  <c r="AG3" i="1"/>
  <c r="AH3" i="1"/>
  <c r="AG4" i="1"/>
  <c r="AH4" i="1"/>
  <c r="AG5" i="1"/>
  <c r="AH5" i="1"/>
  <c r="AG6" i="1"/>
  <c r="AH6" i="1"/>
  <c r="AG7" i="1"/>
  <c r="AH7" i="1"/>
  <c r="AG8" i="1"/>
  <c r="AH8" i="1"/>
  <c r="AG9" i="1"/>
  <c r="AH9" i="1"/>
  <c r="AG10" i="1"/>
  <c r="AH10" i="1"/>
  <c r="AG11" i="1"/>
  <c r="AH11" i="1"/>
  <c r="AG12" i="1"/>
  <c r="AH12" i="1"/>
  <c r="AG13" i="1"/>
  <c r="AH13" i="1"/>
  <c r="AG14" i="1"/>
  <c r="AH14" i="1"/>
  <c r="AG15" i="1"/>
  <c r="AH15" i="1"/>
  <c r="AG16" i="1"/>
  <c r="AH16" i="1"/>
  <c r="AG17" i="1"/>
  <c r="AH17" i="1"/>
  <c r="AG18" i="1"/>
  <c r="AH18" i="1"/>
  <c r="AG19" i="1"/>
  <c r="AH19" i="1"/>
  <c r="AG20" i="1"/>
  <c r="AH20" i="1"/>
  <c r="AH2" i="1"/>
  <c r="AG2" i="1"/>
  <c r="AE3" i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" i="1"/>
  <c r="D96" i="1"/>
  <c r="E42" i="1"/>
  <c r="D99" i="1"/>
  <c r="D100" i="1" s="1"/>
  <c r="D94" i="1"/>
  <c r="H21" i="1"/>
  <c r="Q42" i="1"/>
  <c r="D95" i="1" s="1"/>
  <c r="D97" i="1" s="1"/>
  <c r="D98" i="1" s="1"/>
  <c r="O102" i="2" l="1"/>
  <c r="O96" i="2"/>
  <c r="AD46" i="2"/>
  <c r="AD61" i="2" s="1"/>
  <c r="AD62" i="2" s="1"/>
  <c r="O100" i="2"/>
  <c r="O97" i="2"/>
  <c r="D101" i="2"/>
  <c r="AJ10" i="2"/>
  <c r="AJ6" i="2"/>
  <c r="AD48" i="2"/>
  <c r="AD59" i="2" s="1"/>
  <c r="D102" i="2"/>
  <c r="AJ2" i="2"/>
  <c r="AJ18" i="2"/>
  <c r="S101" i="2"/>
  <c r="D109" i="2"/>
  <c r="AD60" i="1"/>
  <c r="AD63" i="1"/>
  <c r="AD64" i="1" s="1"/>
  <c r="O104" i="1" s="1"/>
  <c r="O106" i="1" s="1"/>
  <c r="D102" i="1"/>
  <c r="D101" i="1"/>
  <c r="AD63" i="2" l="1"/>
  <c r="AD64" i="2" s="1"/>
  <c r="O104" i="2" s="1"/>
  <c r="AD60" i="2"/>
  <c r="AJ21" i="2"/>
  <c r="AK10" i="2"/>
  <c r="AM10" i="2" s="1"/>
  <c r="W101" i="2"/>
  <c r="O103" i="2"/>
  <c r="O106" i="2" s="1"/>
  <c r="O107" i="2" s="1"/>
  <c r="O110" i="2" s="1"/>
  <c r="O109" i="1"/>
  <c r="O107" i="1"/>
  <c r="AN3" i="1"/>
  <c r="AN7" i="1"/>
  <c r="AN11" i="1"/>
  <c r="AN15" i="1"/>
  <c r="AN19" i="1"/>
  <c r="AN6" i="1"/>
  <c r="AN10" i="1"/>
  <c r="AN14" i="1"/>
  <c r="AN4" i="1"/>
  <c r="AN8" i="1"/>
  <c r="AN12" i="1"/>
  <c r="AN16" i="1"/>
  <c r="AN20" i="1"/>
  <c r="AN5" i="1"/>
  <c r="AN9" i="1"/>
  <c r="AN13" i="1"/>
  <c r="AN17" i="1"/>
  <c r="AN2" i="1"/>
  <c r="AN18" i="1"/>
  <c r="O109" i="2" l="1"/>
  <c r="D110" i="2"/>
  <c r="D111" i="2" s="1"/>
  <c r="AK15" i="2"/>
  <c r="AM15" i="2" s="1"/>
  <c r="AK11" i="2"/>
  <c r="AM11" i="2" s="1"/>
  <c r="AK20" i="2"/>
  <c r="AM20" i="2" s="1"/>
  <c r="AK5" i="2"/>
  <c r="AM5" i="2" s="1"/>
  <c r="AK16" i="2"/>
  <c r="AM16" i="2" s="1"/>
  <c r="AK4" i="2"/>
  <c r="AM4" i="2" s="1"/>
  <c r="AK14" i="2"/>
  <c r="AM14" i="2" s="1"/>
  <c r="AK19" i="2"/>
  <c r="AM19" i="2" s="1"/>
  <c r="AK3" i="2"/>
  <c r="AM3" i="2" s="1"/>
  <c r="AK12" i="2"/>
  <c r="AM12" i="2" s="1"/>
  <c r="AK7" i="2"/>
  <c r="AM7" i="2" s="1"/>
  <c r="AK8" i="2"/>
  <c r="AM8" i="2" s="1"/>
  <c r="AK17" i="2"/>
  <c r="AM17" i="2" s="1"/>
  <c r="AK13" i="2"/>
  <c r="AM13" i="2" s="1"/>
  <c r="AK9" i="2"/>
  <c r="AM9" i="2" s="1"/>
  <c r="AK6" i="2"/>
  <c r="AM6" i="2" s="1"/>
  <c r="AK18" i="2"/>
  <c r="AM18" i="2" s="1"/>
  <c r="AK2" i="2"/>
  <c r="O110" i="1"/>
  <c r="D110" i="1"/>
  <c r="D111" i="1" s="1"/>
  <c r="AN21" i="1"/>
  <c r="AK40" i="2" l="1"/>
  <c r="AK38" i="2"/>
  <c r="AK36" i="2"/>
  <c r="AK34" i="2"/>
  <c r="AK32" i="2"/>
  <c r="AK30" i="2"/>
  <c r="AK28" i="2"/>
  <c r="AK26" i="2"/>
  <c r="AK24" i="2"/>
  <c r="AK41" i="2"/>
  <c r="AK33" i="2"/>
  <c r="AK25" i="2"/>
  <c r="AK29" i="2"/>
  <c r="AK27" i="2"/>
  <c r="AK39" i="2"/>
  <c r="AK31" i="2"/>
  <c r="AK37" i="2"/>
  <c r="AK35" i="2"/>
  <c r="AK21" i="2"/>
  <c r="AM2" i="2"/>
  <c r="AK26" i="1"/>
  <c r="AK30" i="1"/>
  <c r="AK34" i="1"/>
  <c r="AK38" i="1"/>
  <c r="AK24" i="1"/>
  <c r="AK27" i="1"/>
  <c r="AK31" i="1"/>
  <c r="AK35" i="1"/>
  <c r="AK39" i="1"/>
  <c r="AK28" i="1"/>
  <c r="AK32" i="1"/>
  <c r="AK36" i="1"/>
  <c r="AK40" i="1"/>
  <c r="AK25" i="1"/>
  <c r="AK29" i="1"/>
  <c r="AK33" i="1"/>
  <c r="AK37" i="1"/>
  <c r="AK41" i="1"/>
  <c r="AL33" i="1" l="1"/>
  <c r="AR33" i="1"/>
  <c r="AS33" i="1" s="1"/>
  <c r="AT33" i="1" s="1"/>
  <c r="AL35" i="1"/>
  <c r="AR35" i="1"/>
  <c r="AS35" i="1" s="1"/>
  <c r="AT35" i="1" s="1"/>
  <c r="AL31" i="1"/>
  <c r="AR31" i="1"/>
  <c r="AS31" i="1" s="1"/>
  <c r="AT31" i="1" s="1"/>
  <c r="AL34" i="1"/>
  <c r="AR34" i="1"/>
  <c r="AS34" i="1" s="1"/>
  <c r="AT34" i="1" s="1"/>
  <c r="AL38" i="1"/>
  <c r="AR38" i="1"/>
  <c r="AS38" i="1" s="1"/>
  <c r="AT38" i="1" s="1"/>
  <c r="AL32" i="1"/>
  <c r="AR32" i="1"/>
  <c r="AS32" i="1" s="1"/>
  <c r="AT32" i="1" s="1"/>
  <c r="AL41" i="1"/>
  <c r="AR41" i="1"/>
  <c r="AS41" i="1" s="1"/>
  <c r="AT41" i="1" s="1"/>
  <c r="AL28" i="1"/>
  <c r="AR28" i="1"/>
  <c r="AS28" i="1" s="1"/>
  <c r="AT28" i="1" s="1"/>
  <c r="AL27" i="1"/>
  <c r="AR27" i="1"/>
  <c r="AS27" i="1" s="1"/>
  <c r="AT27" i="1" s="1"/>
  <c r="AL30" i="1"/>
  <c r="AR30" i="1"/>
  <c r="AS30" i="1" s="1"/>
  <c r="AT30" i="1" s="1"/>
  <c r="AL36" i="1"/>
  <c r="AR36" i="1"/>
  <c r="AS36" i="1" s="1"/>
  <c r="AT36" i="1" s="1"/>
  <c r="AL29" i="1"/>
  <c r="AR29" i="1"/>
  <c r="AS29" i="1" s="1"/>
  <c r="AT29" i="1" s="1"/>
  <c r="AL25" i="1"/>
  <c r="AR25" i="1"/>
  <c r="AS25" i="1" s="1"/>
  <c r="AT25" i="1" s="1"/>
  <c r="AL37" i="1"/>
  <c r="AR37" i="1"/>
  <c r="AS37" i="1" s="1"/>
  <c r="AT37" i="1" s="1"/>
  <c r="AL40" i="1"/>
  <c r="AR40" i="1"/>
  <c r="AS40" i="1" s="1"/>
  <c r="AT40" i="1" s="1"/>
  <c r="AL39" i="1"/>
  <c r="AR39" i="1"/>
  <c r="AS39" i="1" s="1"/>
  <c r="AT39" i="1" s="1"/>
  <c r="AL24" i="1"/>
  <c r="AR24" i="1"/>
  <c r="AS24" i="1" s="1"/>
  <c r="AT24" i="1" s="1"/>
  <c r="AL26" i="1"/>
  <c r="AR26" i="1"/>
  <c r="AS26" i="1" s="1"/>
  <c r="AT26" i="1" s="1"/>
  <c r="AR31" i="2"/>
  <c r="AL31" i="2"/>
  <c r="AL26" i="2"/>
  <c r="AR26" i="2"/>
  <c r="AR39" i="2"/>
  <c r="AL39" i="2"/>
  <c r="AL28" i="2"/>
  <c r="AR28" i="2"/>
  <c r="AR36" i="2"/>
  <c r="AL36" i="2"/>
  <c r="AR35" i="2"/>
  <c r="AL35" i="2"/>
  <c r="AR27" i="2"/>
  <c r="AL27" i="2"/>
  <c r="AR41" i="2"/>
  <c r="AL41" i="2"/>
  <c r="AR30" i="2"/>
  <c r="AL30" i="2"/>
  <c r="AL38" i="2"/>
  <c r="AR38" i="2"/>
  <c r="AM21" i="2"/>
  <c r="AR25" i="2"/>
  <c r="AL25" i="2"/>
  <c r="AR34" i="2"/>
  <c r="AL34" i="2"/>
  <c r="AR33" i="2"/>
  <c r="AL33" i="2"/>
  <c r="AR37" i="2"/>
  <c r="AL37" i="2"/>
  <c r="AR29" i="2"/>
  <c r="AL29" i="2"/>
  <c r="AL24" i="2"/>
  <c r="AR24" i="2"/>
  <c r="AL32" i="2"/>
  <c r="AR32" i="2"/>
  <c r="AL40" i="2"/>
  <c r="AR40" i="2"/>
  <c r="AU39" i="1" l="1"/>
  <c r="AU28" i="1"/>
  <c r="AT42" i="1"/>
  <c r="AU26" i="1" s="1"/>
  <c r="AU24" i="1"/>
  <c r="AU40" i="1"/>
  <c r="AU36" i="1"/>
  <c r="AU27" i="1"/>
  <c r="AU41" i="1"/>
  <c r="AU38" i="1"/>
  <c r="AU31" i="1"/>
  <c r="AU33" i="1"/>
  <c r="AU29" i="1"/>
  <c r="AU25" i="1"/>
  <c r="AS38" i="2"/>
  <c r="AT38" i="2" s="1"/>
  <c r="AS28" i="2"/>
  <c r="AT28" i="2" s="1"/>
  <c r="AS26" i="2"/>
  <c r="AT26" i="2" s="1"/>
  <c r="AS32" i="2"/>
  <c r="AT32" i="2" s="1"/>
  <c r="AS40" i="2"/>
  <c r="AT40" i="2" s="1"/>
  <c r="AS24" i="2"/>
  <c r="AT24" i="2" s="1"/>
  <c r="AS33" i="2"/>
  <c r="AT33" i="2" s="1"/>
  <c r="AS35" i="2"/>
  <c r="AT35" i="2" s="1"/>
  <c r="AN10" i="2"/>
  <c r="AN6" i="2"/>
  <c r="AN13" i="2"/>
  <c r="AN8" i="2"/>
  <c r="AN18" i="2"/>
  <c r="AN15" i="2"/>
  <c r="AN17" i="2"/>
  <c r="AN9" i="2"/>
  <c r="AN19" i="2"/>
  <c r="AN12" i="2"/>
  <c r="AN5" i="2"/>
  <c r="AN4" i="2"/>
  <c r="AN7" i="2"/>
  <c r="AN3" i="2"/>
  <c r="AN14" i="2"/>
  <c r="AN11" i="2"/>
  <c r="AN20" i="2"/>
  <c r="AN16" i="2"/>
  <c r="AS29" i="2"/>
  <c r="AT29" i="2" s="1"/>
  <c r="AS25" i="2"/>
  <c r="AT25" i="2" s="1"/>
  <c r="AS41" i="2"/>
  <c r="AT41" i="2" s="1"/>
  <c r="AS37" i="2"/>
  <c r="AT37" i="2" s="1"/>
  <c r="AS34" i="2"/>
  <c r="AT34" i="2" s="1"/>
  <c r="AN2" i="2"/>
  <c r="AS30" i="2"/>
  <c r="AT30" i="2" s="1"/>
  <c r="AS27" i="2"/>
  <c r="AT27" i="2" s="1"/>
  <c r="AS36" i="2"/>
  <c r="AT36" i="2" s="1"/>
  <c r="AS39" i="2"/>
  <c r="AT39" i="2" s="1"/>
  <c r="AS31" i="2"/>
  <c r="AT31" i="2" s="1"/>
  <c r="AU32" i="1" l="1"/>
  <c r="AU30" i="1"/>
  <c r="AU35" i="1"/>
  <c r="AU37" i="1"/>
  <c r="AU34" i="1"/>
  <c r="AT42" i="2"/>
  <c r="AN21" i="2"/>
  <c r="AU28" i="2" l="1"/>
  <c r="AU24" i="2"/>
  <c r="AU38" i="2"/>
  <c r="AU32" i="2"/>
  <c r="AU26" i="2"/>
  <c r="AU40" i="2"/>
  <c r="AU31" i="2"/>
  <c r="AU30" i="2"/>
  <c r="AU29" i="2"/>
  <c r="AU41" i="2"/>
  <c r="AU35" i="2"/>
  <c r="AU36" i="2"/>
  <c r="AU27" i="2"/>
  <c r="AU39" i="2"/>
  <c r="AU25" i="2"/>
  <c r="AU37" i="2"/>
  <c r="AU33" i="2"/>
  <c r="AU34" i="2"/>
</calcChain>
</file>

<file path=xl/sharedStrings.xml><?xml version="1.0" encoding="utf-8"?>
<sst xmlns="http://schemas.openxmlformats.org/spreadsheetml/2006/main" count="898" uniqueCount="271">
  <si>
    <t>Rk</t>
  </si>
  <si>
    <t>Pos</t>
  </si>
  <si>
    <t>Name</t>
  </si>
  <si>
    <t>Age</t>
  </si>
  <si>
    <t>G</t>
  </si>
  <si>
    <t>PA</t>
  </si>
  <si>
    <t>AB</t>
  </si>
  <si>
    <t>R</t>
  </si>
  <si>
    <t>H</t>
  </si>
  <si>
    <t>2B</t>
  </si>
  <si>
    <t>3B</t>
  </si>
  <si>
    <t>HR</t>
  </si>
  <si>
    <t>RBI</t>
  </si>
  <si>
    <t>SB</t>
  </si>
  <si>
    <t>CS</t>
  </si>
  <si>
    <t>BB</t>
  </si>
  <si>
    <t>SO</t>
  </si>
  <si>
    <t>BA</t>
  </si>
  <si>
    <t>OBP</t>
  </si>
  <si>
    <t>SLG</t>
  </si>
  <si>
    <t>OPS</t>
  </si>
  <si>
    <t>OPS+</t>
  </si>
  <si>
    <t>TB</t>
  </si>
  <si>
    <t>GDP</t>
  </si>
  <si>
    <t>HBP</t>
  </si>
  <si>
    <t>SH</t>
  </si>
  <si>
    <t>SF</t>
  </si>
  <si>
    <t>IBB</t>
  </si>
  <si>
    <t>Name-additional</t>
  </si>
  <si>
    <t>C</t>
  </si>
  <si>
    <t>Bob Boone</t>
  </si>
  <si>
    <t>boonebo01</t>
  </si>
  <si>
    <t>1B</t>
  </si>
  <si>
    <t>Rod Carew*</t>
  </si>
  <si>
    <t>carewro01</t>
  </si>
  <si>
    <t>Bobby Grich</t>
  </si>
  <si>
    <t>grichbo01</t>
  </si>
  <si>
    <t>SS</t>
  </si>
  <si>
    <t>Dick Schofield</t>
  </si>
  <si>
    <t>schofdi02</t>
  </si>
  <si>
    <t>Doug DeCinces</t>
  </si>
  <si>
    <t>decindo01</t>
  </si>
  <si>
    <t>LF</t>
  </si>
  <si>
    <t>Brian Downing</t>
  </si>
  <si>
    <t>downibr01</t>
  </si>
  <si>
    <t>CF</t>
  </si>
  <si>
    <t>Gary Pettis#</t>
  </si>
  <si>
    <t>pettiga01</t>
  </si>
  <si>
    <t>RF</t>
  </si>
  <si>
    <t>Fred Lynn*</t>
  </si>
  <si>
    <t>lynnfr01</t>
  </si>
  <si>
    <t>DH</t>
  </si>
  <si>
    <t>Reggie Jackson*</t>
  </si>
  <si>
    <t>jacksre01</t>
  </si>
  <si>
    <t>OF</t>
  </si>
  <si>
    <t>Juan Beniquez</t>
  </si>
  <si>
    <t>beniqju01</t>
  </si>
  <si>
    <t>Rob Wilfong*</t>
  </si>
  <si>
    <t>wilforo01</t>
  </si>
  <si>
    <t>Daryl Sconiers*</t>
  </si>
  <si>
    <t>sconida01</t>
  </si>
  <si>
    <t>Mike Brown</t>
  </si>
  <si>
    <t>brownmi02</t>
  </si>
  <si>
    <t>Jerry Narron*</t>
  </si>
  <si>
    <t>narroje01</t>
  </si>
  <si>
    <t>Rob Picciolo</t>
  </si>
  <si>
    <t>picciro01</t>
  </si>
  <si>
    <t>Ron Jackson</t>
  </si>
  <si>
    <t>jacksro02</t>
  </si>
  <si>
    <t>Darrell Miller</t>
  </si>
  <si>
    <t>milleda01</t>
  </si>
  <si>
    <t>UT</t>
  </si>
  <si>
    <t>Derrel Thomas#</t>
  </si>
  <si>
    <t>thomade01</t>
  </si>
  <si>
    <t>Rick Burleson</t>
  </si>
  <si>
    <t>burleri01</t>
  </si>
  <si>
    <t>W</t>
  </si>
  <si>
    <t>L</t>
  </si>
  <si>
    <t>W-L%</t>
  </si>
  <si>
    <t>ERA</t>
  </si>
  <si>
    <t>GS</t>
  </si>
  <si>
    <t>GF</t>
  </si>
  <si>
    <t>CG</t>
  </si>
  <si>
    <t>SHO</t>
  </si>
  <si>
    <t>SV</t>
  </si>
  <si>
    <t>IP</t>
  </si>
  <si>
    <t>ER</t>
  </si>
  <si>
    <t>BK</t>
  </si>
  <si>
    <t>WP</t>
  </si>
  <si>
    <t>BF</t>
  </si>
  <si>
    <t>ERA+</t>
  </si>
  <si>
    <t>FIP</t>
  </si>
  <si>
    <t>WHIP</t>
  </si>
  <si>
    <t>H9</t>
  </si>
  <si>
    <t>HR9</t>
  </si>
  <si>
    <t>BB9</t>
  </si>
  <si>
    <t>SO9</t>
  </si>
  <si>
    <t>SO/W</t>
  </si>
  <si>
    <t>SP</t>
  </si>
  <si>
    <t>Mike Witt</t>
  </si>
  <si>
    <t>wittmi01</t>
  </si>
  <si>
    <t>Ron Romanick</t>
  </si>
  <si>
    <t>romanro01</t>
  </si>
  <si>
    <t>Geoff Zahn*</t>
  </si>
  <si>
    <t>zahnge01</t>
  </si>
  <si>
    <t>Tommy John*</t>
  </si>
  <si>
    <t>johnto01</t>
  </si>
  <si>
    <t>Jim Slaton</t>
  </si>
  <si>
    <t>slatoji01</t>
  </si>
  <si>
    <t>CL</t>
  </si>
  <si>
    <t>Luis Sanchez</t>
  </si>
  <si>
    <t>sanchlu01</t>
  </si>
  <si>
    <t>RP</t>
  </si>
  <si>
    <t>Doug Corbett</t>
  </si>
  <si>
    <t>corbedo01</t>
  </si>
  <si>
    <t>Curt Kaufman</t>
  </si>
  <si>
    <t>kaufmcu01</t>
  </si>
  <si>
    <t>Bruce Kison</t>
  </si>
  <si>
    <t>kisonbr01</t>
  </si>
  <si>
    <t>Don Aase</t>
  </si>
  <si>
    <t>aasedo01</t>
  </si>
  <si>
    <t>Frank LaCorte</t>
  </si>
  <si>
    <t>lacorfr01</t>
  </si>
  <si>
    <t>John Curtis*</t>
  </si>
  <si>
    <t>curtijo01</t>
  </si>
  <si>
    <t>Ken Forsch</t>
  </si>
  <si>
    <t>forscke01</t>
  </si>
  <si>
    <t>Steve Brown</t>
  </si>
  <si>
    <t>brownst02</t>
  </si>
  <si>
    <t>Craig Swan</t>
  </si>
  <si>
    <t>swancr01</t>
  </si>
  <si>
    <t>Rick Steirer</t>
  </si>
  <si>
    <t>steirri01</t>
  </si>
  <si>
    <t>Stew Cliburn</t>
  </si>
  <si>
    <t>clibust02</t>
  </si>
  <si>
    <t>Dave Smith</t>
  </si>
  <si>
    <t>smithda03</t>
  </si>
  <si>
    <t>Catchers</t>
  </si>
  <si>
    <t>Inn</t>
  </si>
  <si>
    <t>Ch</t>
  </si>
  <si>
    <t>PO</t>
  </si>
  <si>
    <t>A</t>
  </si>
  <si>
    <t>E</t>
  </si>
  <si>
    <t>DP</t>
  </si>
  <si>
    <t>Fld%</t>
  </si>
  <si>
    <t>Rtot</t>
  </si>
  <si>
    <t>Rtot/yr</t>
  </si>
  <si>
    <t>Rctch</t>
  </si>
  <si>
    <t>RF/9</t>
  </si>
  <si>
    <t>RF/G</t>
  </si>
  <si>
    <t>PB</t>
  </si>
  <si>
    <t>CS%</t>
  </si>
  <si>
    <t>Bob Boone</t>
  </si>
  <si>
    <t>Jerry Narron</t>
  </si>
  <si>
    <t>1st base</t>
  </si>
  <si>
    <t>Rtz</t>
  </si>
  <si>
    <t>Rdp</t>
  </si>
  <si>
    <t>Rod Carew</t>
  </si>
  <si>
    <t>Daryl Sconiers</t>
  </si>
  <si>
    <t>Ron Jackson</t>
  </si>
  <si>
    <t>Bobby Grich</t>
  </si>
  <si>
    <t>Darrell Miller</t>
  </si>
  <si>
    <t>2nd base</t>
  </si>
  <si>
    <t>3rd base</t>
  </si>
  <si>
    <t>short</t>
  </si>
  <si>
    <t>Outfield</t>
  </si>
  <si>
    <t>Rof</t>
  </si>
  <si>
    <t>Fred Lynn</t>
  </si>
  <si>
    <t>Brian Downing</t>
  </si>
  <si>
    <t>Gary Pettis</t>
  </si>
  <si>
    <t>Juan Beniquez</t>
  </si>
  <si>
    <t>Mike Brown</t>
  </si>
  <si>
    <t>Derrel Thomas</t>
  </si>
  <si>
    <t>Reggie Jackson</t>
  </si>
  <si>
    <t>Rob Picciolo</t>
  </si>
  <si>
    <t>Dick Schofield</t>
  </si>
  <si>
    <t>Rob Wilfong</t>
  </si>
  <si>
    <t>Doug DeCinces</t>
  </si>
  <si>
    <t>League Avg Runs</t>
  </si>
  <si>
    <t>Team R</t>
  </si>
  <si>
    <t>Team RA</t>
  </si>
  <si>
    <t>MRS</t>
  </si>
  <si>
    <t>MRA</t>
  </si>
  <si>
    <t>totMR</t>
  </si>
  <si>
    <t>Wins</t>
  </si>
  <si>
    <t>WS</t>
  </si>
  <si>
    <t>WS-offense</t>
  </si>
  <si>
    <t>WS-defense</t>
  </si>
  <si>
    <t>RC</t>
  </si>
  <si>
    <t>Outs</t>
  </si>
  <si>
    <t>B</t>
  </si>
  <si>
    <t>D1</t>
  </si>
  <si>
    <t>LGRuns</t>
  </si>
  <si>
    <t>Lgouts</t>
  </si>
  <si>
    <t>LGR/Out</t>
  </si>
  <si>
    <t>Backgrnd</t>
  </si>
  <si>
    <t>Claim pts</t>
  </si>
  <si>
    <t>WS-bat</t>
  </si>
  <si>
    <t>BJ-WS</t>
  </si>
  <si>
    <t>teamDER</t>
  </si>
  <si>
    <t>LGDER</t>
  </si>
  <si>
    <t>claim-DER</t>
  </si>
  <si>
    <t>claim-K</t>
  </si>
  <si>
    <t>WHBP</t>
  </si>
  <si>
    <t>lg_WHBP</t>
  </si>
  <si>
    <t>bb</t>
  </si>
  <si>
    <t>hbp</t>
  </si>
  <si>
    <t>ip</t>
  </si>
  <si>
    <t>claim-W</t>
  </si>
  <si>
    <t>lgHR9</t>
  </si>
  <si>
    <t>claim-HR</t>
  </si>
  <si>
    <t>pb</t>
  </si>
  <si>
    <t>err-P</t>
  </si>
  <si>
    <t>err-tot</t>
  </si>
  <si>
    <t>lgerr</t>
  </si>
  <si>
    <t>lgpb</t>
  </si>
  <si>
    <t>claim-err</t>
  </si>
  <si>
    <t>err/inn</t>
  </si>
  <si>
    <t>lgerr/inn</t>
  </si>
  <si>
    <t>DP expected</t>
  </si>
  <si>
    <t>Innings</t>
  </si>
  <si>
    <t>Team</t>
  </si>
  <si>
    <t>LG</t>
  </si>
  <si>
    <t>Hits</t>
  </si>
  <si>
    <t>Balks</t>
  </si>
  <si>
    <t>Assists</t>
  </si>
  <si>
    <t>Singles</t>
  </si>
  <si>
    <t>Singles/Hit</t>
  </si>
  <si>
    <t>on 1B</t>
  </si>
  <si>
    <t>DP%</t>
  </si>
  <si>
    <t>Ast/INN</t>
  </si>
  <si>
    <t>AST_factor</t>
  </si>
  <si>
    <t>DP_expected</t>
  </si>
  <si>
    <t>DPE2</t>
  </si>
  <si>
    <t>Claim-DP</t>
  </si>
  <si>
    <t>Pitcher share</t>
  </si>
  <si>
    <t>Fielders</t>
  </si>
  <si>
    <t>WS-pit</t>
  </si>
  <si>
    <t>WS-field</t>
  </si>
  <si>
    <t>LGR/GM</t>
  </si>
  <si>
    <t>upper bound</t>
  </si>
  <si>
    <t>upper bound1</t>
  </si>
  <si>
    <t>fielders</t>
  </si>
  <si>
    <t>upperbound2</t>
  </si>
  <si>
    <t>claim pts runs</t>
  </si>
  <si>
    <t>WLS CP</t>
  </si>
  <si>
    <t>Holds</t>
  </si>
  <si>
    <t>SEI</t>
  </si>
  <si>
    <t>CompERA</t>
  </si>
  <si>
    <t>CompRA</t>
  </si>
  <si>
    <t>SEI-claim</t>
  </si>
  <si>
    <t>Claim-TOT</t>
  </si>
  <si>
    <t>ClaimTOT2</t>
  </si>
  <si>
    <t>hits</t>
  </si>
  <si>
    <t>1b</t>
  </si>
  <si>
    <t>2b</t>
  </si>
  <si>
    <t>3b</t>
  </si>
  <si>
    <t>hr</t>
  </si>
  <si>
    <t>RV</t>
  </si>
  <si>
    <t>non-HR</t>
  </si>
  <si>
    <t>Runs</t>
  </si>
  <si>
    <t>strikeouts</t>
  </si>
  <si>
    <t>Before</t>
  </si>
  <si>
    <t>After</t>
  </si>
  <si>
    <t>pitchers</t>
  </si>
  <si>
    <t>Romanick</t>
  </si>
  <si>
    <t>others</t>
  </si>
  <si>
    <t>pitclaim</t>
  </si>
  <si>
    <t>hitters</t>
  </si>
  <si>
    <t>After2</t>
  </si>
  <si>
    <t>Reduce 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</si>
</sst>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">
    <font>
      <sz val="11"/>
      <color theme="1"/>
      <name val="Calibri"/>
      <family val="2"/>
      <scheme val="minor"/>
    </font>
    <font>
      <sz val="8"/>
      <color rgb="FF000000"/>
      <name val="Arial Unicode M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vertical="center"/>
    </xf>
    <xf numFmtId="9" fontId="0" fillId="0" borderId="0" xfId="0" applyNumberFormat="1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11"/>
  <sheetViews>
    <sheetView topLeftCell="A17" workbookViewId="0">
      <selection activeCell="P25" sqref="P25"/>
    </sheetView>
  </sheetViews>
  <sheetFormatPr defaultRowHeight="14.4"/>
  <cols>
    <col min="1" max="1" width="2.5546875" bestFit="1" customWidth="1"/>
    <col min="2" max="2" width="3.88671875" bestFit="1" customWidth="1"/>
    <col min="3" max="3" width="14.21875" bestFit="1" customWidth="1"/>
    <col min="4" max="4" width="6.5546875" bestFit="1" customWidth="1"/>
    <col min="5" max="5" width="4" bestFit="1" customWidth="1"/>
    <col min="6" max="6" width="7" bestFit="1" customWidth="1"/>
    <col min="7" max="7" width="6" bestFit="1" customWidth="1"/>
    <col min="8" max="9" width="4" bestFit="1" customWidth="1"/>
    <col min="10" max="11" width="3.109375" bestFit="1" customWidth="1"/>
    <col min="12" max="12" width="3.33203125" bestFit="1" customWidth="1"/>
    <col min="13" max="13" width="3.77734375" bestFit="1" customWidth="1"/>
    <col min="14" max="14" width="10.88671875" customWidth="1"/>
    <col min="15" max="15" width="6" bestFit="1" customWidth="1"/>
    <col min="16" max="16" width="5" bestFit="1" customWidth="1"/>
    <col min="17" max="17" width="4" bestFit="1" customWidth="1"/>
    <col min="18" max="21" width="6" bestFit="1" customWidth="1"/>
    <col min="22" max="22" width="5.21875" bestFit="1" customWidth="1"/>
    <col min="23" max="23" width="5.5546875" bestFit="1" customWidth="1"/>
    <col min="24" max="24" width="4.44140625" bestFit="1" customWidth="1"/>
    <col min="25" max="25" width="4.33203125" bestFit="1" customWidth="1"/>
    <col min="26" max="26" width="5.5546875" bestFit="1" customWidth="1"/>
    <col min="27" max="27" width="5.21875" bestFit="1" customWidth="1"/>
    <col min="28" max="28" width="3.77734375" bestFit="1" customWidth="1"/>
    <col min="29" max="29" width="14.77734375" bestFit="1" customWidth="1"/>
    <col min="30" max="30" width="5.5546875" bestFit="1" customWidth="1"/>
    <col min="31" max="31" width="7.77734375" customWidth="1"/>
    <col min="32" max="33" width="4.21875" bestFit="1" customWidth="1"/>
    <col min="34" max="34" width="5.77734375" bestFit="1" customWidth="1"/>
    <col min="35" max="35" width="14.77734375" bestFit="1" customWidth="1"/>
    <col min="38" max="38" width="12.109375" bestFit="1" customWidth="1"/>
    <col min="40" max="40" width="7" bestFit="1" customWidth="1"/>
  </cols>
  <sheetData>
    <row r="1" spans="1:41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E1" t="s">
        <v>189</v>
      </c>
      <c r="AG1" t="s">
        <v>141</v>
      </c>
      <c r="AH1" t="s">
        <v>190</v>
      </c>
      <c r="AI1" t="s">
        <v>29</v>
      </c>
      <c r="AJ1" t="s">
        <v>191</v>
      </c>
      <c r="AK1" t="s">
        <v>188</v>
      </c>
      <c r="AL1" t="s">
        <v>195</v>
      </c>
      <c r="AM1" t="s">
        <v>196</v>
      </c>
      <c r="AN1" t="s">
        <v>197</v>
      </c>
      <c r="AO1" t="s">
        <v>198</v>
      </c>
    </row>
    <row r="2" spans="1:41">
      <c r="A2" s="1">
        <v>1</v>
      </c>
      <c r="B2" t="s">
        <v>29</v>
      </c>
      <c r="C2" t="s">
        <v>30</v>
      </c>
      <c r="D2">
        <v>36</v>
      </c>
      <c r="E2">
        <v>139</v>
      </c>
      <c r="F2">
        <v>486</v>
      </c>
      <c r="G2">
        <v>450</v>
      </c>
      <c r="H2">
        <v>33</v>
      </c>
      <c r="I2">
        <v>91</v>
      </c>
      <c r="J2">
        <v>16</v>
      </c>
      <c r="K2">
        <v>1</v>
      </c>
      <c r="L2">
        <v>3</v>
      </c>
      <c r="M2">
        <v>32</v>
      </c>
      <c r="N2">
        <v>3</v>
      </c>
      <c r="O2">
        <v>3</v>
      </c>
      <c r="P2">
        <v>25</v>
      </c>
      <c r="Q2">
        <v>45</v>
      </c>
      <c r="R2">
        <v>0.20200000000000001</v>
      </c>
      <c r="S2">
        <v>0.24199999999999999</v>
      </c>
      <c r="T2">
        <v>0.26200000000000001</v>
      </c>
      <c r="U2">
        <v>0.504</v>
      </c>
      <c r="V2">
        <v>41</v>
      </c>
      <c r="W2">
        <v>118</v>
      </c>
      <c r="X2">
        <v>11</v>
      </c>
      <c r="Y2">
        <v>0</v>
      </c>
      <c r="Z2">
        <v>6</v>
      </c>
      <c r="AA2">
        <v>5</v>
      </c>
      <c r="AB2">
        <v>1</v>
      </c>
      <c r="AC2" t="s">
        <v>31</v>
      </c>
      <c r="AE2">
        <f>G2-I2+O2+X2+Z2+AA2</f>
        <v>384</v>
      </c>
      <c r="AG2">
        <f>I2+P2+Y2-X2-O2</f>
        <v>102</v>
      </c>
      <c r="AH2" s="3">
        <f>(P2-AB2+Y2)*0.24+N2*0.62+(AA2+Z2)*0.5-Q2*0.03+W2</f>
        <v>129.77000000000001</v>
      </c>
      <c r="AI2">
        <f>F2</f>
        <v>486</v>
      </c>
      <c r="AJ2" s="3">
        <f>(AI2*2.4+AG2)*(AI2*3+AH2)/(AI2*9)-AI2*0.9</f>
        <v>23.03151989026054</v>
      </c>
      <c r="AK2" s="3">
        <f>AJ2*(H$21/AJ$21)</f>
        <v>24.47000916764199</v>
      </c>
      <c r="AL2" s="3">
        <f>AE2*D$106*0.52</f>
        <v>32.702186361780321</v>
      </c>
      <c r="AM2" s="3">
        <f>MAX(0,AK2-AL2)</f>
        <v>0</v>
      </c>
      <c r="AN2" s="5">
        <f>AM2*D$101/AM$21</f>
        <v>0</v>
      </c>
      <c r="AO2">
        <v>0</v>
      </c>
    </row>
    <row r="3" spans="1:41">
      <c r="A3" s="1">
        <v>2</v>
      </c>
      <c r="B3" t="s">
        <v>32</v>
      </c>
      <c r="C3" t="s">
        <v>33</v>
      </c>
      <c r="D3">
        <v>38</v>
      </c>
      <c r="E3">
        <v>93</v>
      </c>
      <c r="F3">
        <v>378</v>
      </c>
      <c r="G3">
        <v>329</v>
      </c>
      <c r="H3">
        <v>42</v>
      </c>
      <c r="I3">
        <v>97</v>
      </c>
      <c r="J3">
        <v>8</v>
      </c>
      <c r="K3">
        <v>1</v>
      </c>
      <c r="L3">
        <v>3</v>
      </c>
      <c r="M3">
        <v>31</v>
      </c>
      <c r="N3">
        <v>4</v>
      </c>
      <c r="O3">
        <v>3</v>
      </c>
      <c r="P3">
        <v>40</v>
      </c>
      <c r="Q3">
        <v>39</v>
      </c>
      <c r="R3">
        <v>0.29499999999999998</v>
      </c>
      <c r="S3">
        <v>0.36699999999999999</v>
      </c>
      <c r="T3">
        <v>0.35299999999999998</v>
      </c>
      <c r="U3">
        <v>0.72</v>
      </c>
      <c r="V3">
        <v>102</v>
      </c>
      <c r="W3">
        <v>116</v>
      </c>
      <c r="X3">
        <v>8</v>
      </c>
      <c r="Y3">
        <v>0</v>
      </c>
      <c r="Z3">
        <v>5</v>
      </c>
      <c r="AA3">
        <v>4</v>
      </c>
      <c r="AB3">
        <v>1</v>
      </c>
      <c r="AC3" t="s">
        <v>34</v>
      </c>
      <c r="AE3">
        <f t="shared" ref="AE3:AE20" si="0">G3-I3+O3+X3+Z3+AA3</f>
        <v>252</v>
      </c>
      <c r="AG3">
        <f t="shared" ref="AG3:AG20" si="1">I3+P3+Y3-X3-O3</f>
        <v>126</v>
      </c>
      <c r="AH3" s="3">
        <f t="shared" ref="AH3:AH20" si="2">(P3-AB3+Y3)*0.24+N3*0.62+(AA3+Z3)*0.5-Q3*0.03+W3</f>
        <v>131.16999999999999</v>
      </c>
      <c r="AI3">
        <f t="shared" ref="AI3:AI20" si="3">F3</f>
        <v>378</v>
      </c>
      <c r="AJ3" s="3">
        <f t="shared" ref="AJ3:AJ20" si="4">(AI3*2.4+AG3)*(AI3*3+AH3)/(AI3*9)-AI3*0.9</f>
        <v>44.036814814814761</v>
      </c>
      <c r="AK3" s="3">
        <f t="shared" ref="AK3:AK20" si="5">AJ3*(H$21/AJ$21)</f>
        <v>46.787240588839829</v>
      </c>
      <c r="AL3" s="3">
        <f t="shared" ref="AL3:AL20" si="6">AE3*D$106*0.52</f>
        <v>21.460809799918337</v>
      </c>
      <c r="AM3" s="3">
        <f t="shared" ref="AM3:AM20" si="7">MAX(0,AK3-AL3)</f>
        <v>25.326430788921492</v>
      </c>
      <c r="AN3" s="5">
        <f t="shared" ref="AN3:AN20" si="8">AM3*D$101/AM$21</f>
        <v>8.1316944966267446</v>
      </c>
      <c r="AO3">
        <v>8.1999999999999993</v>
      </c>
    </row>
    <row r="4" spans="1:41">
      <c r="A4" s="1">
        <v>3</v>
      </c>
      <c r="B4" t="s">
        <v>9</v>
      </c>
      <c r="C4" t="s">
        <v>35</v>
      </c>
      <c r="D4">
        <v>35</v>
      </c>
      <c r="E4">
        <v>116</v>
      </c>
      <c r="F4">
        <v>432</v>
      </c>
      <c r="G4">
        <v>363</v>
      </c>
      <c r="H4">
        <v>60</v>
      </c>
      <c r="I4">
        <v>93</v>
      </c>
      <c r="J4">
        <v>15</v>
      </c>
      <c r="K4">
        <v>1</v>
      </c>
      <c r="L4">
        <v>18</v>
      </c>
      <c r="M4">
        <v>58</v>
      </c>
      <c r="N4">
        <v>2</v>
      </c>
      <c r="O4">
        <v>5</v>
      </c>
      <c r="P4">
        <v>57</v>
      </c>
      <c r="Q4">
        <v>70</v>
      </c>
      <c r="R4">
        <v>0.25600000000000001</v>
      </c>
      <c r="S4">
        <v>0.35699999999999998</v>
      </c>
      <c r="T4">
        <v>0.45200000000000001</v>
      </c>
      <c r="U4">
        <v>0.80900000000000005</v>
      </c>
      <c r="V4">
        <v>124</v>
      </c>
      <c r="W4">
        <v>164</v>
      </c>
      <c r="X4">
        <v>11</v>
      </c>
      <c r="Y4">
        <v>2</v>
      </c>
      <c r="Z4">
        <v>6</v>
      </c>
      <c r="AA4">
        <v>4</v>
      </c>
      <c r="AB4">
        <v>3</v>
      </c>
      <c r="AC4" t="s">
        <v>36</v>
      </c>
      <c r="AE4">
        <f t="shared" si="0"/>
        <v>296</v>
      </c>
      <c r="AG4">
        <f t="shared" si="1"/>
        <v>136</v>
      </c>
      <c r="AH4" s="3">
        <f t="shared" si="2"/>
        <v>181.57999999999998</v>
      </c>
      <c r="AI4">
        <f t="shared" si="3"/>
        <v>432</v>
      </c>
      <c r="AJ4" s="3">
        <f t="shared" si="4"/>
        <v>56.906230452674833</v>
      </c>
      <c r="AK4" s="3">
        <f t="shared" si="5"/>
        <v>60.460446705549515</v>
      </c>
      <c r="AL4" s="3">
        <f t="shared" si="6"/>
        <v>25.207935320538997</v>
      </c>
      <c r="AM4" s="3">
        <f t="shared" si="7"/>
        <v>35.252511385010521</v>
      </c>
      <c r="AN4" s="5">
        <f t="shared" si="8"/>
        <v>11.318715029800257</v>
      </c>
      <c r="AO4">
        <v>11.5</v>
      </c>
    </row>
    <row r="5" spans="1:41">
      <c r="A5" s="1">
        <v>4</v>
      </c>
      <c r="B5" t="s">
        <v>37</v>
      </c>
      <c r="C5" t="s">
        <v>38</v>
      </c>
      <c r="D5">
        <v>21</v>
      </c>
      <c r="E5">
        <v>140</v>
      </c>
      <c r="F5">
        <v>452</v>
      </c>
      <c r="G5">
        <v>400</v>
      </c>
      <c r="H5">
        <v>39</v>
      </c>
      <c r="I5">
        <v>77</v>
      </c>
      <c r="J5">
        <v>10</v>
      </c>
      <c r="K5">
        <v>3</v>
      </c>
      <c r="L5">
        <v>4</v>
      </c>
      <c r="M5">
        <v>21</v>
      </c>
      <c r="N5">
        <v>5</v>
      </c>
      <c r="O5">
        <v>2</v>
      </c>
      <c r="P5">
        <v>33</v>
      </c>
      <c r="Q5">
        <v>79</v>
      </c>
      <c r="R5">
        <v>0.193</v>
      </c>
      <c r="S5">
        <v>0.26400000000000001</v>
      </c>
      <c r="T5">
        <v>0.26300000000000001</v>
      </c>
      <c r="U5">
        <v>0.52700000000000002</v>
      </c>
      <c r="V5">
        <v>48</v>
      </c>
      <c r="W5">
        <v>105</v>
      </c>
      <c r="X5">
        <v>7</v>
      </c>
      <c r="Y5">
        <v>6</v>
      </c>
      <c r="Z5">
        <v>13</v>
      </c>
      <c r="AA5">
        <v>0</v>
      </c>
      <c r="AB5">
        <v>0</v>
      </c>
      <c r="AC5" t="s">
        <v>39</v>
      </c>
      <c r="AE5">
        <f t="shared" si="0"/>
        <v>345</v>
      </c>
      <c r="AG5">
        <f t="shared" si="1"/>
        <v>107</v>
      </c>
      <c r="AH5" s="3">
        <f t="shared" si="2"/>
        <v>121.59</v>
      </c>
      <c r="AI5">
        <f t="shared" si="3"/>
        <v>452</v>
      </c>
      <c r="AJ5" s="3">
        <f t="shared" si="4"/>
        <v>26.088830383480797</v>
      </c>
      <c r="AK5" s="3">
        <f t="shared" si="5"/>
        <v>27.718271381941797</v>
      </c>
      <c r="AL5" s="3">
        <f t="shared" si="6"/>
        <v>29.380870559412006</v>
      </c>
      <c r="AM5" s="3">
        <f t="shared" si="7"/>
        <v>0</v>
      </c>
      <c r="AN5" s="5">
        <f t="shared" si="8"/>
        <v>0</v>
      </c>
      <c r="AO5">
        <v>0</v>
      </c>
    </row>
    <row r="6" spans="1:41">
      <c r="A6" s="1">
        <v>5</v>
      </c>
      <c r="B6" t="s">
        <v>10</v>
      </c>
      <c r="C6" t="s">
        <v>40</v>
      </c>
      <c r="D6">
        <v>33</v>
      </c>
      <c r="E6">
        <v>146</v>
      </c>
      <c r="F6">
        <v>612</v>
      </c>
      <c r="G6">
        <v>547</v>
      </c>
      <c r="H6">
        <v>77</v>
      </c>
      <c r="I6">
        <v>147</v>
      </c>
      <c r="J6">
        <v>23</v>
      </c>
      <c r="K6">
        <v>3</v>
      </c>
      <c r="L6">
        <v>20</v>
      </c>
      <c r="M6">
        <v>82</v>
      </c>
      <c r="N6">
        <v>4</v>
      </c>
      <c r="O6">
        <v>1</v>
      </c>
      <c r="P6">
        <v>53</v>
      </c>
      <c r="Q6">
        <v>79</v>
      </c>
      <c r="R6">
        <v>0.26900000000000002</v>
      </c>
      <c r="S6">
        <v>0.32700000000000001</v>
      </c>
      <c r="T6">
        <v>0.43099999999999999</v>
      </c>
      <c r="U6">
        <v>0.75800000000000001</v>
      </c>
      <c r="V6">
        <v>110</v>
      </c>
      <c r="W6">
        <v>236</v>
      </c>
      <c r="X6">
        <v>16</v>
      </c>
      <c r="Y6">
        <v>0</v>
      </c>
      <c r="Z6">
        <v>0</v>
      </c>
      <c r="AA6">
        <v>12</v>
      </c>
      <c r="AB6">
        <v>4</v>
      </c>
      <c r="AC6" t="s">
        <v>41</v>
      </c>
      <c r="AE6">
        <f t="shared" si="0"/>
        <v>429</v>
      </c>
      <c r="AG6">
        <f t="shared" si="1"/>
        <v>183</v>
      </c>
      <c r="AH6" s="3">
        <f t="shared" si="2"/>
        <v>253.87</v>
      </c>
      <c r="AI6">
        <f t="shared" si="3"/>
        <v>612</v>
      </c>
      <c r="AJ6" s="3">
        <f t="shared" si="4"/>
        <v>75.933345315904035</v>
      </c>
      <c r="AK6" s="3">
        <f t="shared" si="5"/>
        <v>80.675946045386127</v>
      </c>
      <c r="AL6" s="3">
        <f t="shared" si="6"/>
        <v>36.534473826051453</v>
      </c>
      <c r="AM6" s="3">
        <f t="shared" si="7"/>
        <v>44.141472219334673</v>
      </c>
      <c r="AN6" s="5">
        <f t="shared" si="8"/>
        <v>14.172741896026618</v>
      </c>
      <c r="AO6">
        <v>13.9</v>
      </c>
    </row>
    <row r="7" spans="1:41">
      <c r="A7" s="1">
        <v>6</v>
      </c>
      <c r="B7" t="s">
        <v>42</v>
      </c>
      <c r="C7" t="s">
        <v>43</v>
      </c>
      <c r="D7">
        <v>33</v>
      </c>
      <c r="E7">
        <v>156</v>
      </c>
      <c r="F7">
        <v>628</v>
      </c>
      <c r="G7">
        <v>539</v>
      </c>
      <c r="H7">
        <v>65</v>
      </c>
      <c r="I7">
        <v>148</v>
      </c>
      <c r="J7">
        <v>28</v>
      </c>
      <c r="K7">
        <v>2</v>
      </c>
      <c r="L7">
        <v>23</v>
      </c>
      <c r="M7">
        <v>91</v>
      </c>
      <c r="N7">
        <v>0</v>
      </c>
      <c r="O7">
        <v>4</v>
      </c>
      <c r="P7">
        <v>70</v>
      </c>
      <c r="Q7">
        <v>66</v>
      </c>
      <c r="R7">
        <v>0.27500000000000002</v>
      </c>
      <c r="S7">
        <v>0.36</v>
      </c>
      <c r="T7">
        <v>0.46200000000000002</v>
      </c>
      <c r="U7">
        <v>0.82199999999999995</v>
      </c>
      <c r="V7">
        <v>127</v>
      </c>
      <c r="W7">
        <v>249</v>
      </c>
      <c r="X7">
        <v>18</v>
      </c>
      <c r="Y7">
        <v>7</v>
      </c>
      <c r="Z7">
        <v>3</v>
      </c>
      <c r="AA7">
        <v>9</v>
      </c>
      <c r="AB7">
        <v>3</v>
      </c>
      <c r="AC7" t="s">
        <v>44</v>
      </c>
      <c r="AE7">
        <f t="shared" si="0"/>
        <v>425</v>
      </c>
      <c r="AG7">
        <f t="shared" si="1"/>
        <v>203</v>
      </c>
      <c r="AH7" s="3">
        <f t="shared" si="2"/>
        <v>270.77999999999997</v>
      </c>
      <c r="AI7">
        <f t="shared" si="3"/>
        <v>628</v>
      </c>
      <c r="AJ7" s="3">
        <f t="shared" si="4"/>
        <v>86.800133757961703</v>
      </c>
      <c r="AK7" s="3">
        <f t="shared" si="5"/>
        <v>92.22144604134705</v>
      </c>
      <c r="AL7" s="3">
        <f t="shared" si="6"/>
        <v>36.193826051449577</v>
      </c>
      <c r="AM7" s="3">
        <f t="shared" si="7"/>
        <v>56.027619989897474</v>
      </c>
      <c r="AN7" s="5">
        <f t="shared" si="8"/>
        <v>17.989091827745273</v>
      </c>
      <c r="AO7">
        <v>17.899999999999999</v>
      </c>
    </row>
    <row r="8" spans="1:41">
      <c r="A8" s="1">
        <v>7</v>
      </c>
      <c r="B8" t="s">
        <v>45</v>
      </c>
      <c r="C8" t="s">
        <v>46</v>
      </c>
      <c r="D8">
        <v>26</v>
      </c>
      <c r="E8">
        <v>140</v>
      </c>
      <c r="F8">
        <v>466</v>
      </c>
      <c r="G8">
        <v>397</v>
      </c>
      <c r="H8">
        <v>63</v>
      </c>
      <c r="I8">
        <v>90</v>
      </c>
      <c r="J8">
        <v>11</v>
      </c>
      <c r="K8">
        <v>6</v>
      </c>
      <c r="L8">
        <v>2</v>
      </c>
      <c r="M8">
        <v>29</v>
      </c>
      <c r="N8">
        <v>48</v>
      </c>
      <c r="O8">
        <v>17</v>
      </c>
      <c r="P8">
        <v>60</v>
      </c>
      <c r="Q8">
        <v>115</v>
      </c>
      <c r="R8">
        <v>0.22700000000000001</v>
      </c>
      <c r="S8">
        <v>0.33200000000000002</v>
      </c>
      <c r="T8">
        <v>0.3</v>
      </c>
      <c r="U8">
        <v>0.63200000000000001</v>
      </c>
      <c r="V8">
        <v>78</v>
      </c>
      <c r="W8">
        <v>119</v>
      </c>
      <c r="X8">
        <v>4</v>
      </c>
      <c r="Y8">
        <v>3</v>
      </c>
      <c r="Z8">
        <v>5</v>
      </c>
      <c r="AA8">
        <v>1</v>
      </c>
      <c r="AB8">
        <v>1</v>
      </c>
      <c r="AC8" t="s">
        <v>47</v>
      </c>
      <c r="AE8">
        <f t="shared" si="0"/>
        <v>334</v>
      </c>
      <c r="AG8">
        <f t="shared" si="1"/>
        <v>132</v>
      </c>
      <c r="AH8" s="3">
        <f t="shared" si="2"/>
        <v>163.19</v>
      </c>
      <c r="AI8">
        <f t="shared" si="3"/>
        <v>466</v>
      </c>
      <c r="AJ8" s="3">
        <f t="shared" si="4"/>
        <v>46.05349928469235</v>
      </c>
      <c r="AK8" s="3">
        <f t="shared" si="5"/>
        <v>48.929881964714205</v>
      </c>
      <c r="AL8" s="3">
        <f t="shared" si="6"/>
        <v>28.444089179256842</v>
      </c>
      <c r="AM8" s="3">
        <f t="shared" si="7"/>
        <v>20.485792785457363</v>
      </c>
      <c r="AN8" s="5">
        <f t="shared" si="8"/>
        <v>6.5774845986355182</v>
      </c>
      <c r="AO8">
        <v>6.9</v>
      </c>
    </row>
    <row r="9" spans="1:41">
      <c r="A9" s="1">
        <v>8</v>
      </c>
      <c r="B9" t="s">
        <v>48</v>
      </c>
      <c r="C9" t="s">
        <v>49</v>
      </c>
      <c r="D9">
        <v>32</v>
      </c>
      <c r="E9">
        <v>142</v>
      </c>
      <c r="F9">
        <v>600</v>
      </c>
      <c r="G9">
        <v>517</v>
      </c>
      <c r="H9">
        <v>84</v>
      </c>
      <c r="I9">
        <v>140</v>
      </c>
      <c r="J9">
        <v>28</v>
      </c>
      <c r="K9">
        <v>4</v>
      </c>
      <c r="L9">
        <v>23</v>
      </c>
      <c r="M9">
        <v>79</v>
      </c>
      <c r="N9">
        <v>2</v>
      </c>
      <c r="O9">
        <v>2</v>
      </c>
      <c r="P9">
        <v>77</v>
      </c>
      <c r="Q9">
        <v>97</v>
      </c>
      <c r="R9">
        <v>0.27100000000000002</v>
      </c>
      <c r="S9">
        <v>0.36599999999999999</v>
      </c>
      <c r="T9">
        <v>0.47399999999999998</v>
      </c>
      <c r="U9">
        <v>0.84</v>
      </c>
      <c r="V9">
        <v>132</v>
      </c>
      <c r="W9">
        <v>245</v>
      </c>
      <c r="X9">
        <v>14</v>
      </c>
      <c r="Y9">
        <v>2</v>
      </c>
      <c r="Z9">
        <v>2</v>
      </c>
      <c r="AA9">
        <v>2</v>
      </c>
      <c r="AB9">
        <v>8</v>
      </c>
      <c r="AC9" t="s">
        <v>50</v>
      </c>
      <c r="AE9">
        <f t="shared" si="0"/>
        <v>397</v>
      </c>
      <c r="AG9">
        <f t="shared" si="1"/>
        <v>203</v>
      </c>
      <c r="AH9" s="3">
        <f t="shared" si="2"/>
        <v>262.37</v>
      </c>
      <c r="AI9">
        <f t="shared" si="3"/>
        <v>600</v>
      </c>
      <c r="AJ9" s="3">
        <f t="shared" si="4"/>
        <v>87.495168518518426</v>
      </c>
      <c r="AK9" s="3">
        <f t="shared" si="5"/>
        <v>92.959890878843211</v>
      </c>
      <c r="AL9" s="3">
        <f t="shared" si="6"/>
        <v>33.809291629236427</v>
      </c>
      <c r="AM9" s="3">
        <f t="shared" si="7"/>
        <v>59.150599249606785</v>
      </c>
      <c r="AN9" s="5">
        <f t="shared" si="8"/>
        <v>18.991803716795435</v>
      </c>
      <c r="AO9">
        <v>19</v>
      </c>
    </row>
    <row r="10" spans="1:41">
      <c r="A10" s="1">
        <v>9</v>
      </c>
      <c r="B10" t="s">
        <v>51</v>
      </c>
      <c r="C10" t="s">
        <v>52</v>
      </c>
      <c r="D10">
        <v>38</v>
      </c>
      <c r="E10">
        <v>143</v>
      </c>
      <c r="F10">
        <v>584</v>
      </c>
      <c r="G10">
        <v>525</v>
      </c>
      <c r="H10">
        <v>67</v>
      </c>
      <c r="I10">
        <v>117</v>
      </c>
      <c r="J10">
        <v>17</v>
      </c>
      <c r="K10">
        <v>2</v>
      </c>
      <c r="L10">
        <v>25</v>
      </c>
      <c r="M10">
        <v>81</v>
      </c>
      <c r="N10">
        <v>8</v>
      </c>
      <c r="O10">
        <v>4</v>
      </c>
      <c r="P10">
        <v>55</v>
      </c>
      <c r="Q10">
        <v>141</v>
      </c>
      <c r="R10">
        <v>0.223</v>
      </c>
      <c r="S10">
        <v>0.3</v>
      </c>
      <c r="T10">
        <v>0.40600000000000003</v>
      </c>
      <c r="U10">
        <v>0.70599999999999996</v>
      </c>
      <c r="V10">
        <v>95</v>
      </c>
      <c r="W10">
        <v>213</v>
      </c>
      <c r="X10">
        <v>10</v>
      </c>
      <c r="Y10">
        <v>3</v>
      </c>
      <c r="Z10">
        <v>1</v>
      </c>
      <c r="AA10">
        <v>0</v>
      </c>
      <c r="AB10">
        <v>7</v>
      </c>
      <c r="AC10" t="s">
        <v>53</v>
      </c>
      <c r="AE10">
        <f t="shared" si="0"/>
        <v>423</v>
      </c>
      <c r="AG10">
        <f t="shared" si="1"/>
        <v>161</v>
      </c>
      <c r="AH10" s="3">
        <f t="shared" si="2"/>
        <v>226.47</v>
      </c>
      <c r="AI10">
        <f t="shared" si="3"/>
        <v>584</v>
      </c>
      <c r="AJ10" s="3">
        <f t="shared" si="4"/>
        <v>62.595818493150659</v>
      </c>
      <c r="AK10" s="3">
        <f t="shared" si="5"/>
        <v>66.505391727585348</v>
      </c>
      <c r="AL10" s="3">
        <f t="shared" si="6"/>
        <v>36.023502164148638</v>
      </c>
      <c r="AM10" s="3">
        <f t="shared" si="7"/>
        <v>30.48188956343671</v>
      </c>
      <c r="AN10" s="5">
        <f t="shared" si="8"/>
        <v>9.7869856070760548</v>
      </c>
      <c r="AO10">
        <v>9.6</v>
      </c>
    </row>
    <row r="11" spans="1:41">
      <c r="A11" s="1">
        <v>10</v>
      </c>
      <c r="B11" t="s">
        <v>54</v>
      </c>
      <c r="C11" t="s">
        <v>55</v>
      </c>
      <c r="D11">
        <v>34</v>
      </c>
      <c r="E11">
        <v>110</v>
      </c>
      <c r="F11">
        <v>382</v>
      </c>
      <c r="G11">
        <v>354</v>
      </c>
      <c r="H11">
        <v>60</v>
      </c>
      <c r="I11">
        <v>119</v>
      </c>
      <c r="J11">
        <v>17</v>
      </c>
      <c r="K11">
        <v>0</v>
      </c>
      <c r="L11">
        <v>8</v>
      </c>
      <c r="M11">
        <v>39</v>
      </c>
      <c r="N11">
        <v>0</v>
      </c>
      <c r="O11">
        <v>3</v>
      </c>
      <c r="P11">
        <v>18</v>
      </c>
      <c r="Q11">
        <v>43</v>
      </c>
      <c r="R11">
        <v>0.33600000000000002</v>
      </c>
      <c r="S11">
        <v>0.37</v>
      </c>
      <c r="T11">
        <v>0.45200000000000001</v>
      </c>
      <c r="U11">
        <v>0.82199999999999995</v>
      </c>
      <c r="V11">
        <v>128</v>
      </c>
      <c r="W11">
        <v>160</v>
      </c>
      <c r="X11">
        <v>12</v>
      </c>
      <c r="Y11">
        <v>3</v>
      </c>
      <c r="Z11">
        <v>4</v>
      </c>
      <c r="AA11">
        <v>3</v>
      </c>
      <c r="AB11">
        <v>0</v>
      </c>
      <c r="AC11" t="s">
        <v>56</v>
      </c>
      <c r="AE11">
        <f t="shared" si="0"/>
        <v>257</v>
      </c>
      <c r="AG11">
        <f t="shared" si="1"/>
        <v>125</v>
      </c>
      <c r="AH11" s="3">
        <f t="shared" si="2"/>
        <v>167.25</v>
      </c>
      <c r="AI11">
        <f t="shared" si="3"/>
        <v>382</v>
      </c>
      <c r="AJ11" s="3">
        <f t="shared" si="4"/>
        <v>54.14760034904009</v>
      </c>
      <c r="AK11" s="3">
        <f t="shared" si="5"/>
        <v>57.529519686937036</v>
      </c>
      <c r="AL11" s="3">
        <f t="shared" si="6"/>
        <v>21.886619518170686</v>
      </c>
      <c r="AM11" s="3">
        <f t="shared" si="7"/>
        <v>35.642900168766346</v>
      </c>
      <c r="AN11" s="5">
        <f t="shared" si="8"/>
        <v>11.444059273956473</v>
      </c>
      <c r="AO11">
        <v>11.3</v>
      </c>
    </row>
    <row r="12" spans="1:41">
      <c r="A12" s="1">
        <v>11</v>
      </c>
      <c r="B12" t="s">
        <v>9</v>
      </c>
      <c r="C12" t="s">
        <v>57</v>
      </c>
      <c r="D12">
        <v>30</v>
      </c>
      <c r="E12">
        <v>108</v>
      </c>
      <c r="F12">
        <v>337</v>
      </c>
      <c r="G12">
        <v>307</v>
      </c>
      <c r="H12">
        <v>31</v>
      </c>
      <c r="I12">
        <v>76</v>
      </c>
      <c r="J12">
        <v>13</v>
      </c>
      <c r="K12">
        <v>2</v>
      </c>
      <c r="L12">
        <v>6</v>
      </c>
      <c r="M12">
        <v>33</v>
      </c>
      <c r="N12">
        <v>3</v>
      </c>
      <c r="O12">
        <v>2</v>
      </c>
      <c r="P12">
        <v>20</v>
      </c>
      <c r="Q12">
        <v>53</v>
      </c>
      <c r="R12">
        <v>0.248</v>
      </c>
      <c r="S12">
        <v>0.29599999999999999</v>
      </c>
      <c r="T12">
        <v>0.36199999999999999</v>
      </c>
      <c r="U12">
        <v>0.65800000000000003</v>
      </c>
      <c r="V12">
        <v>82</v>
      </c>
      <c r="W12">
        <v>111</v>
      </c>
      <c r="X12">
        <v>2</v>
      </c>
      <c r="Y12">
        <v>2</v>
      </c>
      <c r="Z12">
        <v>6</v>
      </c>
      <c r="AA12">
        <v>2</v>
      </c>
      <c r="AB12">
        <v>0</v>
      </c>
      <c r="AC12" t="s">
        <v>58</v>
      </c>
      <c r="AE12">
        <f t="shared" si="0"/>
        <v>243</v>
      </c>
      <c r="AG12">
        <f t="shared" si="1"/>
        <v>94</v>
      </c>
      <c r="AH12" s="3">
        <f t="shared" si="2"/>
        <v>120.55</v>
      </c>
      <c r="AI12">
        <f t="shared" si="3"/>
        <v>337</v>
      </c>
      <c r="AJ12" s="3">
        <f t="shared" si="4"/>
        <v>33.516135839103129</v>
      </c>
      <c r="AK12" s="3">
        <f t="shared" si="5"/>
        <v>35.60946716302491</v>
      </c>
      <c r="AL12" s="3">
        <f t="shared" si="6"/>
        <v>20.694352307064108</v>
      </c>
      <c r="AM12" s="3">
        <f t="shared" si="7"/>
        <v>14.915114855960802</v>
      </c>
      <c r="AN12" s="5">
        <f t="shared" si="8"/>
        <v>4.7888768220678717</v>
      </c>
      <c r="AO12">
        <v>4.9000000000000004</v>
      </c>
    </row>
    <row r="13" spans="1:41">
      <c r="A13" s="1">
        <v>12</v>
      </c>
      <c r="B13" t="s">
        <v>32</v>
      </c>
      <c r="C13" t="s">
        <v>59</v>
      </c>
      <c r="D13">
        <v>25</v>
      </c>
      <c r="E13">
        <v>57</v>
      </c>
      <c r="F13">
        <v>173</v>
      </c>
      <c r="G13">
        <v>160</v>
      </c>
      <c r="H13">
        <v>14</v>
      </c>
      <c r="I13">
        <v>39</v>
      </c>
      <c r="J13">
        <v>4</v>
      </c>
      <c r="K13">
        <v>0</v>
      </c>
      <c r="L13">
        <v>4</v>
      </c>
      <c r="M13">
        <v>17</v>
      </c>
      <c r="N13">
        <v>1</v>
      </c>
      <c r="O13">
        <v>2</v>
      </c>
      <c r="P13">
        <v>13</v>
      </c>
      <c r="Q13">
        <v>17</v>
      </c>
      <c r="R13">
        <v>0.24399999999999999</v>
      </c>
      <c r="S13">
        <v>0.30099999999999999</v>
      </c>
      <c r="T13">
        <v>0.34399999999999997</v>
      </c>
      <c r="U13">
        <v>0.64400000000000002</v>
      </c>
      <c r="V13">
        <v>79</v>
      </c>
      <c r="W13">
        <v>55</v>
      </c>
      <c r="X13">
        <v>6</v>
      </c>
      <c r="Y13">
        <v>0</v>
      </c>
      <c r="Z13">
        <v>0</v>
      </c>
      <c r="AA13">
        <v>0</v>
      </c>
      <c r="AB13">
        <v>2</v>
      </c>
      <c r="AC13" t="s">
        <v>60</v>
      </c>
      <c r="AE13">
        <f t="shared" si="0"/>
        <v>129</v>
      </c>
      <c r="AG13">
        <f t="shared" si="1"/>
        <v>44</v>
      </c>
      <c r="AH13" s="3">
        <f t="shared" si="2"/>
        <v>57.75</v>
      </c>
      <c r="AI13">
        <f t="shared" si="3"/>
        <v>173</v>
      </c>
      <c r="AJ13" s="3">
        <f t="shared" si="4"/>
        <v>14.398651252408456</v>
      </c>
      <c r="AK13" s="3">
        <f t="shared" si="5"/>
        <v>15.297953840081069</v>
      </c>
      <c r="AL13" s="3">
        <f t="shared" si="6"/>
        <v>10.985890730910578</v>
      </c>
      <c r="AM13" s="3">
        <f t="shared" si="7"/>
        <v>4.3120631091704915</v>
      </c>
      <c r="AN13" s="5">
        <f t="shared" si="8"/>
        <v>1.3844974898431823</v>
      </c>
    </row>
    <row r="14" spans="1:41">
      <c r="A14" s="1">
        <v>13</v>
      </c>
      <c r="B14" t="s">
        <v>48</v>
      </c>
      <c r="C14" t="s">
        <v>61</v>
      </c>
      <c r="D14">
        <v>24</v>
      </c>
      <c r="E14">
        <v>62</v>
      </c>
      <c r="F14">
        <v>163</v>
      </c>
      <c r="G14">
        <v>148</v>
      </c>
      <c r="H14">
        <v>19</v>
      </c>
      <c r="I14">
        <v>42</v>
      </c>
      <c r="J14">
        <v>8</v>
      </c>
      <c r="K14">
        <v>3</v>
      </c>
      <c r="L14">
        <v>7</v>
      </c>
      <c r="M14">
        <v>22</v>
      </c>
      <c r="N14">
        <v>0</v>
      </c>
      <c r="O14">
        <v>2</v>
      </c>
      <c r="P14">
        <v>13</v>
      </c>
      <c r="Q14">
        <v>23</v>
      </c>
      <c r="R14">
        <v>0.28399999999999997</v>
      </c>
      <c r="S14">
        <v>0.34200000000000003</v>
      </c>
      <c r="T14">
        <v>0.52</v>
      </c>
      <c r="U14">
        <v>0.86199999999999999</v>
      </c>
      <c r="V14">
        <v>136</v>
      </c>
      <c r="W14">
        <v>77</v>
      </c>
      <c r="X14">
        <v>8</v>
      </c>
      <c r="Y14">
        <v>0</v>
      </c>
      <c r="Z14">
        <v>2</v>
      </c>
      <c r="AA14">
        <v>0</v>
      </c>
      <c r="AB14">
        <v>1</v>
      </c>
      <c r="AC14" t="s">
        <v>62</v>
      </c>
      <c r="AE14">
        <f t="shared" si="0"/>
        <v>118</v>
      </c>
      <c r="AG14">
        <f t="shared" si="1"/>
        <v>45</v>
      </c>
      <c r="AH14" s="3">
        <f t="shared" si="2"/>
        <v>80.19</v>
      </c>
      <c r="AI14">
        <f t="shared" si="3"/>
        <v>163</v>
      </c>
      <c r="AJ14" s="3">
        <f t="shared" si="4"/>
        <v>22.543815950920248</v>
      </c>
      <c r="AK14" s="3">
        <f t="shared" si="5"/>
        <v>23.951844499239073</v>
      </c>
      <c r="AL14" s="3">
        <f t="shared" si="6"/>
        <v>10.049109350755412</v>
      </c>
      <c r="AM14" s="3">
        <f t="shared" si="7"/>
        <v>13.902735148483661</v>
      </c>
      <c r="AN14" s="5">
        <f t="shared" si="8"/>
        <v>4.4638265785337712</v>
      </c>
    </row>
    <row r="15" spans="1:41">
      <c r="A15" s="1">
        <v>14</v>
      </c>
      <c r="B15" t="s">
        <v>29</v>
      </c>
      <c r="C15" t="s">
        <v>63</v>
      </c>
      <c r="D15">
        <v>28</v>
      </c>
      <c r="E15">
        <v>69</v>
      </c>
      <c r="F15">
        <v>162</v>
      </c>
      <c r="G15">
        <v>150</v>
      </c>
      <c r="H15">
        <v>9</v>
      </c>
      <c r="I15">
        <v>37</v>
      </c>
      <c r="J15">
        <v>5</v>
      </c>
      <c r="K15">
        <v>0</v>
      </c>
      <c r="L15">
        <v>3</v>
      </c>
      <c r="M15">
        <v>17</v>
      </c>
      <c r="N15">
        <v>0</v>
      </c>
      <c r="O15">
        <v>0</v>
      </c>
      <c r="P15">
        <v>8</v>
      </c>
      <c r="Q15">
        <v>12</v>
      </c>
      <c r="R15">
        <v>0.247</v>
      </c>
      <c r="S15">
        <v>0.28599999999999998</v>
      </c>
      <c r="T15">
        <v>0.34</v>
      </c>
      <c r="U15">
        <v>0.626</v>
      </c>
      <c r="V15">
        <v>74</v>
      </c>
      <c r="W15">
        <v>51</v>
      </c>
      <c r="X15">
        <v>7</v>
      </c>
      <c r="Y15">
        <v>1</v>
      </c>
      <c r="Z15">
        <v>1</v>
      </c>
      <c r="AA15">
        <v>2</v>
      </c>
      <c r="AB15">
        <v>1</v>
      </c>
      <c r="AC15" t="s">
        <v>64</v>
      </c>
      <c r="AE15">
        <f t="shared" si="0"/>
        <v>123</v>
      </c>
      <c r="AG15">
        <f t="shared" si="1"/>
        <v>39</v>
      </c>
      <c r="AH15" s="3">
        <f t="shared" si="2"/>
        <v>54.06</v>
      </c>
      <c r="AI15">
        <f t="shared" si="3"/>
        <v>162</v>
      </c>
      <c r="AJ15" s="3">
        <f t="shared" si="4"/>
        <v>12.66204938271602</v>
      </c>
      <c r="AK15" s="3">
        <f t="shared" si="5"/>
        <v>13.452888300577179</v>
      </c>
      <c r="AL15" s="3">
        <f t="shared" si="6"/>
        <v>10.474919069007759</v>
      </c>
      <c r="AM15" s="3">
        <f t="shared" si="7"/>
        <v>2.9779692315694195</v>
      </c>
      <c r="AN15" s="5">
        <f t="shared" si="8"/>
        <v>0.95615273282288049</v>
      </c>
    </row>
    <row r="16" spans="1:41">
      <c r="A16" s="1">
        <v>15</v>
      </c>
      <c r="B16" t="s">
        <v>37</v>
      </c>
      <c r="C16" t="s">
        <v>65</v>
      </c>
      <c r="D16">
        <v>31</v>
      </c>
      <c r="E16">
        <v>87</v>
      </c>
      <c r="F16">
        <v>128</v>
      </c>
      <c r="G16">
        <v>119</v>
      </c>
      <c r="H16">
        <v>18</v>
      </c>
      <c r="I16">
        <v>24</v>
      </c>
      <c r="J16">
        <v>6</v>
      </c>
      <c r="K16">
        <v>0</v>
      </c>
      <c r="L16">
        <v>1</v>
      </c>
      <c r="M16">
        <v>9</v>
      </c>
      <c r="N16">
        <v>0</v>
      </c>
      <c r="O16">
        <v>1</v>
      </c>
      <c r="P16">
        <v>0</v>
      </c>
      <c r="Q16">
        <v>21</v>
      </c>
      <c r="R16">
        <v>0.20200000000000001</v>
      </c>
      <c r="S16">
        <v>0.2</v>
      </c>
      <c r="T16">
        <v>0.27700000000000002</v>
      </c>
      <c r="U16">
        <v>0.47699999999999998</v>
      </c>
      <c r="V16">
        <v>32</v>
      </c>
      <c r="W16">
        <v>33</v>
      </c>
      <c r="X16">
        <v>2</v>
      </c>
      <c r="Y16">
        <v>0</v>
      </c>
      <c r="Z16">
        <v>8</v>
      </c>
      <c r="AA16">
        <v>1</v>
      </c>
      <c r="AB16">
        <v>0</v>
      </c>
      <c r="AC16" t="s">
        <v>66</v>
      </c>
      <c r="AE16">
        <f t="shared" si="0"/>
        <v>107</v>
      </c>
      <c r="AG16">
        <f t="shared" si="1"/>
        <v>21</v>
      </c>
      <c r="AH16" s="3">
        <f t="shared" si="2"/>
        <v>36.869999999999997</v>
      </c>
      <c r="AI16">
        <f t="shared" si="3"/>
        <v>128</v>
      </c>
      <c r="AJ16" s="3">
        <f t="shared" si="4"/>
        <v>4.7041093749999874</v>
      </c>
      <c r="AK16" s="3">
        <f t="shared" si="5"/>
        <v>4.9979159030888507</v>
      </c>
      <c r="AL16" s="3">
        <f t="shared" si="6"/>
        <v>9.112327970600246</v>
      </c>
      <c r="AM16" s="3">
        <f t="shared" si="7"/>
        <v>0</v>
      </c>
      <c r="AN16" s="5">
        <f t="shared" si="8"/>
        <v>0</v>
      </c>
    </row>
    <row r="17" spans="1:48">
      <c r="A17" s="1">
        <v>16</v>
      </c>
      <c r="B17" t="s">
        <v>32</v>
      </c>
      <c r="C17" t="s">
        <v>67</v>
      </c>
      <c r="D17">
        <v>31</v>
      </c>
      <c r="E17">
        <v>33</v>
      </c>
      <c r="F17">
        <v>100</v>
      </c>
      <c r="G17">
        <v>91</v>
      </c>
      <c r="H17">
        <v>5</v>
      </c>
      <c r="I17">
        <v>15</v>
      </c>
      <c r="J17">
        <v>2</v>
      </c>
      <c r="K17">
        <v>1</v>
      </c>
      <c r="L17">
        <v>0</v>
      </c>
      <c r="M17">
        <v>5</v>
      </c>
      <c r="N17">
        <v>0</v>
      </c>
      <c r="O17">
        <v>0</v>
      </c>
      <c r="P17">
        <v>7</v>
      </c>
      <c r="Q17">
        <v>13</v>
      </c>
      <c r="R17">
        <v>0.16500000000000001</v>
      </c>
      <c r="S17">
        <v>0.222</v>
      </c>
      <c r="T17">
        <v>0.20899999999999999</v>
      </c>
      <c r="U17">
        <v>0.43099999999999999</v>
      </c>
      <c r="V17">
        <v>21</v>
      </c>
      <c r="W17">
        <v>19</v>
      </c>
      <c r="X17">
        <v>3</v>
      </c>
      <c r="Y17">
        <v>0</v>
      </c>
      <c r="Z17">
        <v>1</v>
      </c>
      <c r="AA17">
        <v>1</v>
      </c>
      <c r="AB17">
        <v>1</v>
      </c>
      <c r="AC17" t="s">
        <v>68</v>
      </c>
      <c r="AE17">
        <f t="shared" si="0"/>
        <v>81</v>
      </c>
      <c r="AG17">
        <f t="shared" si="1"/>
        <v>19</v>
      </c>
      <c r="AH17" s="3">
        <f t="shared" si="2"/>
        <v>21.05</v>
      </c>
      <c r="AI17">
        <f t="shared" si="3"/>
        <v>100</v>
      </c>
      <c r="AJ17" s="3">
        <f t="shared" si="4"/>
        <v>2.3910555555555533</v>
      </c>
      <c r="AK17" s="3">
        <f t="shared" si="5"/>
        <v>2.5403947131395257</v>
      </c>
      <c r="AL17" s="3">
        <f t="shared" si="6"/>
        <v>6.8981174356880368</v>
      </c>
      <c r="AM17" s="3">
        <f t="shared" si="7"/>
        <v>0</v>
      </c>
      <c r="AN17" s="5">
        <f t="shared" si="8"/>
        <v>0</v>
      </c>
    </row>
    <row r="18" spans="1:48">
      <c r="A18" s="1">
        <v>17</v>
      </c>
      <c r="B18" t="s">
        <v>32</v>
      </c>
      <c r="C18" t="s">
        <v>69</v>
      </c>
      <c r="D18">
        <v>26</v>
      </c>
      <c r="E18">
        <v>17</v>
      </c>
      <c r="F18">
        <v>45</v>
      </c>
      <c r="G18">
        <v>41</v>
      </c>
      <c r="H18">
        <v>5</v>
      </c>
      <c r="I18">
        <v>7</v>
      </c>
      <c r="J18">
        <v>0</v>
      </c>
      <c r="K18">
        <v>0</v>
      </c>
      <c r="L18">
        <v>0</v>
      </c>
      <c r="M18">
        <v>1</v>
      </c>
      <c r="N18">
        <v>0</v>
      </c>
      <c r="O18">
        <v>0</v>
      </c>
      <c r="P18">
        <v>4</v>
      </c>
      <c r="Q18">
        <v>9</v>
      </c>
      <c r="R18">
        <v>0.17100000000000001</v>
      </c>
      <c r="S18">
        <v>0.24399999999999999</v>
      </c>
      <c r="T18">
        <v>0.17100000000000001</v>
      </c>
      <c r="U18">
        <v>0.41499999999999998</v>
      </c>
      <c r="V18">
        <v>18</v>
      </c>
      <c r="W18">
        <v>7</v>
      </c>
      <c r="X18">
        <v>0</v>
      </c>
      <c r="Y18">
        <v>0</v>
      </c>
      <c r="Z18">
        <v>0</v>
      </c>
      <c r="AA18">
        <v>0</v>
      </c>
      <c r="AB18">
        <v>0</v>
      </c>
      <c r="AC18" t="s">
        <v>70</v>
      </c>
      <c r="AE18">
        <f t="shared" si="0"/>
        <v>34</v>
      </c>
      <c r="AG18">
        <f t="shared" si="1"/>
        <v>11</v>
      </c>
      <c r="AH18" s="3">
        <f t="shared" si="2"/>
        <v>7.6899999999999995</v>
      </c>
      <c r="AI18">
        <f t="shared" si="3"/>
        <v>45</v>
      </c>
      <c r="AJ18" s="3">
        <f t="shared" si="4"/>
        <v>1.4261975308642008</v>
      </c>
      <c r="AK18" s="3">
        <f t="shared" si="5"/>
        <v>1.5152741469690549</v>
      </c>
      <c r="AL18" s="3">
        <f t="shared" si="6"/>
        <v>2.8955060841159659</v>
      </c>
      <c r="AM18" s="3">
        <f t="shared" si="7"/>
        <v>0</v>
      </c>
      <c r="AN18" s="5">
        <f t="shared" si="8"/>
        <v>0</v>
      </c>
    </row>
    <row r="19" spans="1:48">
      <c r="A19" s="1">
        <v>18</v>
      </c>
      <c r="B19" t="s">
        <v>71</v>
      </c>
      <c r="C19" t="s">
        <v>72</v>
      </c>
      <c r="D19">
        <v>33</v>
      </c>
      <c r="E19">
        <v>14</v>
      </c>
      <c r="F19">
        <v>33</v>
      </c>
      <c r="G19">
        <v>29</v>
      </c>
      <c r="H19">
        <v>3</v>
      </c>
      <c r="I19">
        <v>4</v>
      </c>
      <c r="J19">
        <v>0</v>
      </c>
      <c r="K19">
        <v>1</v>
      </c>
      <c r="L19">
        <v>0</v>
      </c>
      <c r="M19">
        <v>2</v>
      </c>
      <c r="N19">
        <v>0</v>
      </c>
      <c r="O19">
        <v>0</v>
      </c>
      <c r="P19">
        <v>3</v>
      </c>
      <c r="Q19">
        <v>4</v>
      </c>
      <c r="R19">
        <v>0.13800000000000001</v>
      </c>
      <c r="S19">
        <v>0.219</v>
      </c>
      <c r="T19">
        <v>0.20699999999999999</v>
      </c>
      <c r="U19">
        <v>0.42599999999999999</v>
      </c>
      <c r="V19">
        <v>20</v>
      </c>
      <c r="W19">
        <v>6</v>
      </c>
      <c r="X19">
        <v>1</v>
      </c>
      <c r="Y19">
        <v>0</v>
      </c>
      <c r="Z19">
        <v>1</v>
      </c>
      <c r="AA19">
        <v>0</v>
      </c>
      <c r="AB19">
        <v>0</v>
      </c>
      <c r="AC19" t="s">
        <v>73</v>
      </c>
      <c r="AE19">
        <f t="shared" si="0"/>
        <v>27</v>
      </c>
      <c r="AG19">
        <f t="shared" si="1"/>
        <v>6</v>
      </c>
      <c r="AH19" s="3">
        <f t="shared" si="2"/>
        <v>7.1</v>
      </c>
      <c r="AI19">
        <f t="shared" si="3"/>
        <v>33</v>
      </c>
      <c r="AJ19" s="3">
        <f t="shared" si="4"/>
        <v>0.73676767676767696</v>
      </c>
      <c r="AK19" s="3">
        <f t="shared" si="5"/>
        <v>0.78278428392175903</v>
      </c>
      <c r="AL19" s="3">
        <f t="shared" si="6"/>
        <v>2.2993724785626792</v>
      </c>
      <c r="AM19" s="3">
        <f t="shared" si="7"/>
        <v>0</v>
      </c>
      <c r="AN19" s="5">
        <f t="shared" si="8"/>
        <v>0</v>
      </c>
    </row>
    <row r="20" spans="1:48">
      <c r="A20" s="1">
        <v>19</v>
      </c>
      <c r="C20" t="s">
        <v>74</v>
      </c>
      <c r="D20">
        <v>33</v>
      </c>
      <c r="E20">
        <v>7</v>
      </c>
      <c r="F20">
        <v>5</v>
      </c>
      <c r="G20">
        <v>4</v>
      </c>
      <c r="H20">
        <v>2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2</v>
      </c>
      <c r="R20">
        <v>0</v>
      </c>
      <c r="S20">
        <v>0</v>
      </c>
      <c r="T20">
        <v>0</v>
      </c>
      <c r="U20">
        <v>0</v>
      </c>
      <c r="V20">
        <v>-100</v>
      </c>
      <c r="W20">
        <v>0</v>
      </c>
      <c r="X20">
        <v>0</v>
      </c>
      <c r="Y20">
        <v>0</v>
      </c>
      <c r="Z20">
        <v>1</v>
      </c>
      <c r="AA20">
        <v>0</v>
      </c>
      <c r="AB20">
        <v>0</v>
      </c>
      <c r="AC20" t="s">
        <v>75</v>
      </c>
      <c r="AE20">
        <f t="shared" si="0"/>
        <v>5</v>
      </c>
      <c r="AG20">
        <f t="shared" si="1"/>
        <v>0</v>
      </c>
      <c r="AH20" s="3">
        <f t="shared" si="2"/>
        <v>0.44</v>
      </c>
      <c r="AI20">
        <f t="shared" si="3"/>
        <v>5</v>
      </c>
      <c r="AJ20" s="3">
        <f t="shared" si="4"/>
        <v>-0.38266666666666627</v>
      </c>
      <c r="AK20" s="3">
        <f t="shared" si="5"/>
        <v>-0.40656703882769235</v>
      </c>
      <c r="AL20" s="3">
        <f t="shared" si="6"/>
        <v>0.42580971825234792</v>
      </c>
      <c r="AM20" s="3">
        <f t="shared" si="7"/>
        <v>0</v>
      </c>
      <c r="AN20" s="5">
        <f t="shared" si="8"/>
        <v>0</v>
      </c>
    </row>
    <row r="21" spans="1:48">
      <c r="H21">
        <f>SUM(H2:H20)</f>
        <v>696</v>
      </c>
      <c r="AJ21" s="3">
        <f>SUM(AJ2:AJ20)</f>
        <v>655.08507715716689</v>
      </c>
      <c r="AK21" s="3">
        <f>SUM(AK2:AK20)</f>
        <v>695.99999999999989</v>
      </c>
      <c r="AM21" s="3">
        <f>SUM(AM2:AM20)</f>
        <v>342.61709849561572</v>
      </c>
      <c r="AN21" s="3">
        <f>SUM(AN2:AN20)</f>
        <v>110.00593006993009</v>
      </c>
    </row>
    <row r="23" spans="1:48">
      <c r="A23" s="1" t="s">
        <v>0</v>
      </c>
      <c r="B23" t="s">
        <v>1</v>
      </c>
      <c r="C23" t="s">
        <v>2</v>
      </c>
      <c r="D23" t="s">
        <v>3</v>
      </c>
      <c r="E23" t="s">
        <v>76</v>
      </c>
      <c r="F23" t="s">
        <v>77</v>
      </c>
      <c r="G23" t="s">
        <v>78</v>
      </c>
      <c r="H23" t="s">
        <v>79</v>
      </c>
      <c r="I23" t="s">
        <v>4</v>
      </c>
      <c r="J23" t="s">
        <v>80</v>
      </c>
      <c r="K23" t="s">
        <v>81</v>
      </c>
      <c r="L23" t="s">
        <v>82</v>
      </c>
      <c r="M23" t="s">
        <v>83</v>
      </c>
      <c r="N23" t="s">
        <v>84</v>
      </c>
      <c r="O23" t="s">
        <v>85</v>
      </c>
      <c r="P23" t="s">
        <v>8</v>
      </c>
      <c r="Q23" t="s">
        <v>7</v>
      </c>
      <c r="R23" t="s">
        <v>86</v>
      </c>
      <c r="S23" t="s">
        <v>11</v>
      </c>
      <c r="T23" t="s">
        <v>15</v>
      </c>
      <c r="U23" t="s">
        <v>27</v>
      </c>
      <c r="V23" t="s">
        <v>16</v>
      </c>
      <c r="W23" t="s">
        <v>24</v>
      </c>
      <c r="X23" t="s">
        <v>87</v>
      </c>
      <c r="Y23" t="s">
        <v>88</v>
      </c>
      <c r="Z23" t="s">
        <v>89</v>
      </c>
      <c r="AA23" t="s">
        <v>90</v>
      </c>
      <c r="AB23" t="s">
        <v>91</v>
      </c>
      <c r="AC23" t="s">
        <v>92</v>
      </c>
      <c r="AD23" t="s">
        <v>93</v>
      </c>
      <c r="AE23" t="s">
        <v>94</v>
      </c>
      <c r="AF23" t="s">
        <v>95</v>
      </c>
      <c r="AG23" t="s">
        <v>96</v>
      </c>
      <c r="AH23" t="s">
        <v>97</v>
      </c>
      <c r="AI23" t="s">
        <v>28</v>
      </c>
      <c r="AK23" t="s">
        <v>240</v>
      </c>
      <c r="AL23" t="s">
        <v>244</v>
      </c>
      <c r="AM23" t="s">
        <v>245</v>
      </c>
      <c r="AN23" t="s">
        <v>246</v>
      </c>
      <c r="AO23" t="s">
        <v>247</v>
      </c>
      <c r="AP23" t="s">
        <v>249</v>
      </c>
      <c r="AQ23" t="s">
        <v>248</v>
      </c>
      <c r="AR23" t="s">
        <v>250</v>
      </c>
      <c r="AS23" t="s">
        <v>251</v>
      </c>
      <c r="AT23" t="s">
        <v>252</v>
      </c>
      <c r="AU23" t="s">
        <v>185</v>
      </c>
      <c r="AV23" t="s">
        <v>198</v>
      </c>
    </row>
    <row r="24" spans="1:48">
      <c r="A24" s="1">
        <v>1</v>
      </c>
      <c r="B24" t="s">
        <v>98</v>
      </c>
      <c r="C24" t="s">
        <v>99</v>
      </c>
      <c r="D24">
        <v>23</v>
      </c>
      <c r="E24">
        <v>15</v>
      </c>
      <c r="F24">
        <v>11</v>
      </c>
      <c r="G24">
        <v>0.57699999999999996</v>
      </c>
      <c r="H24">
        <v>3.47</v>
      </c>
      <c r="I24">
        <v>34</v>
      </c>
      <c r="J24">
        <v>34</v>
      </c>
      <c r="K24">
        <v>0</v>
      </c>
      <c r="L24">
        <v>9</v>
      </c>
      <c r="M24">
        <v>2</v>
      </c>
      <c r="N24">
        <v>0</v>
      </c>
      <c r="O24">
        <v>246.2</v>
      </c>
      <c r="P24">
        <v>227</v>
      </c>
      <c r="Q24">
        <v>103</v>
      </c>
      <c r="R24">
        <v>95</v>
      </c>
      <c r="S24">
        <v>17</v>
      </c>
      <c r="T24">
        <v>84</v>
      </c>
      <c r="U24">
        <v>3</v>
      </c>
      <c r="V24">
        <v>196</v>
      </c>
      <c r="W24">
        <v>5</v>
      </c>
      <c r="X24">
        <v>1</v>
      </c>
      <c r="Y24">
        <v>7</v>
      </c>
      <c r="Z24">
        <v>1032</v>
      </c>
      <c r="AA24">
        <v>116</v>
      </c>
      <c r="AB24">
        <v>3.16</v>
      </c>
      <c r="AC24">
        <v>1.2609999999999999</v>
      </c>
      <c r="AD24">
        <v>8.3000000000000007</v>
      </c>
      <c r="AE24">
        <v>0.6</v>
      </c>
      <c r="AF24">
        <v>3.1</v>
      </c>
      <c r="AG24">
        <v>7.2</v>
      </c>
      <c r="AH24">
        <v>2.33</v>
      </c>
      <c r="AI24" t="s">
        <v>100</v>
      </c>
      <c r="AK24" s="6">
        <f>D$111</f>
        <v>5.9364380537894528</v>
      </c>
      <c r="AL24" s="5">
        <f>AK24*O24/9-Q24+(Q24-R24)/2</f>
        <v>63.394560982551468</v>
      </c>
      <c r="AM24" s="5">
        <f>E24-F24/3+N24/3</f>
        <v>11.333333333333334</v>
      </c>
      <c r="AN24">
        <v>0</v>
      </c>
      <c r="AO24">
        <f>MIN(N24*3+AN24,O24*0.9)</f>
        <v>0</v>
      </c>
      <c r="AP24" s="6">
        <f>((P24+T24+W24)*(((P24-S24)*1.255+S24*4)*0.89+(T24-U24+W24)*0.56)/Z24)*9/O24</f>
        <v>3.8420154487748657</v>
      </c>
      <c r="AQ24" s="6">
        <f>IF(AP24&lt;2.24,AP24*0.75,AP24-0.56)</f>
        <v>3.2820154487748656</v>
      </c>
      <c r="AR24" s="5">
        <f>(AK24-AP24)*AO24/9</f>
        <v>0</v>
      </c>
      <c r="AS24" s="5">
        <f>AR24+AM24+AL24</f>
        <v>74.727894315884797</v>
      </c>
      <c r="AT24" s="5">
        <f>MAX(AS24,0)</f>
        <v>74.727894315884797</v>
      </c>
      <c r="AU24" s="5">
        <f>O$109*AT24/AT$42</f>
        <v>17.254968348825347</v>
      </c>
      <c r="AV24">
        <v>17.600000000000001</v>
      </c>
    </row>
    <row r="25" spans="1:48">
      <c r="A25" s="1">
        <v>2</v>
      </c>
      <c r="B25" t="s">
        <v>98</v>
      </c>
      <c r="C25" t="s">
        <v>101</v>
      </c>
      <c r="D25">
        <v>23</v>
      </c>
      <c r="E25">
        <v>12</v>
      </c>
      <c r="F25">
        <v>12</v>
      </c>
      <c r="G25">
        <v>0.5</v>
      </c>
      <c r="H25">
        <v>3.76</v>
      </c>
      <c r="I25">
        <v>33</v>
      </c>
      <c r="J25">
        <v>33</v>
      </c>
      <c r="K25">
        <v>0</v>
      </c>
      <c r="L25">
        <v>8</v>
      </c>
      <c r="M25">
        <v>2</v>
      </c>
      <c r="N25">
        <v>0</v>
      </c>
      <c r="O25">
        <v>229.2</v>
      </c>
      <c r="P25">
        <v>240</v>
      </c>
      <c r="Q25">
        <v>107</v>
      </c>
      <c r="R25">
        <v>96</v>
      </c>
      <c r="S25">
        <v>23</v>
      </c>
      <c r="T25">
        <v>61</v>
      </c>
      <c r="U25">
        <v>3</v>
      </c>
      <c r="V25">
        <v>87</v>
      </c>
      <c r="W25">
        <v>4</v>
      </c>
      <c r="X25">
        <v>0</v>
      </c>
      <c r="Y25">
        <v>3</v>
      </c>
      <c r="Z25">
        <v>973</v>
      </c>
      <c r="AA25">
        <v>106</v>
      </c>
      <c r="AB25">
        <v>4.16</v>
      </c>
      <c r="AC25">
        <v>1.3109999999999999</v>
      </c>
      <c r="AD25">
        <v>9.4</v>
      </c>
      <c r="AE25">
        <v>0.9</v>
      </c>
      <c r="AF25">
        <v>2.4</v>
      </c>
      <c r="AG25">
        <v>3.4</v>
      </c>
      <c r="AH25">
        <v>1.43</v>
      </c>
      <c r="AI25" t="s">
        <v>102</v>
      </c>
      <c r="AK25" s="6">
        <f t="shared" ref="AK25:AK41" si="9">D$111</f>
        <v>5.9364380537894528</v>
      </c>
      <c r="AL25" s="5">
        <f t="shared" ref="AL25:AL41" si="10">AK25*O25/9-Q25+(Q25-R25)/2</f>
        <v>49.681289103171395</v>
      </c>
      <c r="AM25" s="5">
        <f t="shared" ref="AM25:AM41" si="11">E25-F25/3+N25/3</f>
        <v>8</v>
      </c>
      <c r="AN25">
        <v>0</v>
      </c>
      <c r="AO25">
        <f t="shared" ref="AO25:AO41" si="12">MIN(N25*3+AN25,O25*0.9)</f>
        <v>0</v>
      </c>
      <c r="AP25" s="6">
        <f t="shared" ref="AP25:AP41" si="13">((P25+T25+W25)*(((P25-S25)*1.255+S25*4)*0.89+(T25-U25+W25)*0.56)/Z25)*9/O25</f>
        <v>4.4185819112100004</v>
      </c>
      <c r="AQ25" s="6">
        <f t="shared" ref="AQ25:AQ41" si="14">IF(AP25&lt;2.24,AP25*0.75,AP25-0.56)</f>
        <v>3.8585819112100004</v>
      </c>
      <c r="AR25" s="5">
        <f t="shared" ref="AR25:AR41" si="15">(AK25-AP25)*AO25/9</f>
        <v>0</v>
      </c>
      <c r="AS25" s="5">
        <f t="shared" ref="AS25:AS41" si="16">AR25+AM25+AL25</f>
        <v>57.681289103171395</v>
      </c>
      <c r="AT25" s="5">
        <f t="shared" ref="AT25:AT41" si="17">MAX(AS25,0)</f>
        <v>57.681289103171395</v>
      </c>
      <c r="AU25" s="5">
        <f t="shared" ref="AU25:AU41" si="18">O$109*AT25/AT$42</f>
        <v>13.3188393290924</v>
      </c>
      <c r="AV25">
        <v>13.6</v>
      </c>
    </row>
    <row r="26" spans="1:48">
      <c r="A26" s="1">
        <v>3</v>
      </c>
      <c r="B26" t="s">
        <v>98</v>
      </c>
      <c r="C26" t="s">
        <v>103</v>
      </c>
      <c r="D26">
        <v>38</v>
      </c>
      <c r="E26">
        <v>13</v>
      </c>
      <c r="F26">
        <v>10</v>
      </c>
      <c r="G26">
        <v>0.56499999999999995</v>
      </c>
      <c r="H26">
        <v>3.12</v>
      </c>
      <c r="I26">
        <v>28</v>
      </c>
      <c r="J26">
        <v>27</v>
      </c>
      <c r="K26">
        <v>1</v>
      </c>
      <c r="L26">
        <v>9</v>
      </c>
      <c r="M26">
        <v>5</v>
      </c>
      <c r="N26">
        <v>0</v>
      </c>
      <c r="O26">
        <v>199.1</v>
      </c>
      <c r="P26">
        <v>200</v>
      </c>
      <c r="Q26">
        <v>78</v>
      </c>
      <c r="R26">
        <v>69</v>
      </c>
      <c r="S26">
        <v>11</v>
      </c>
      <c r="T26">
        <v>48</v>
      </c>
      <c r="U26">
        <v>4</v>
      </c>
      <c r="V26">
        <v>61</v>
      </c>
      <c r="W26">
        <v>1</v>
      </c>
      <c r="X26">
        <v>0</v>
      </c>
      <c r="Y26">
        <v>3</v>
      </c>
      <c r="Z26">
        <v>821</v>
      </c>
      <c r="AA26">
        <v>129</v>
      </c>
      <c r="AB26">
        <v>3.61</v>
      </c>
      <c r="AC26">
        <v>1.244</v>
      </c>
      <c r="AD26">
        <v>9</v>
      </c>
      <c r="AE26">
        <v>0.5</v>
      </c>
      <c r="AF26">
        <v>2.2000000000000002</v>
      </c>
      <c r="AG26">
        <v>2.8</v>
      </c>
      <c r="AH26">
        <v>1.27</v>
      </c>
      <c r="AI26" t="s">
        <v>104</v>
      </c>
      <c r="AK26" s="6">
        <f t="shared" si="9"/>
        <v>5.9364380537894528</v>
      </c>
      <c r="AL26" s="5">
        <f t="shared" si="10"/>
        <v>57.82720183438667</v>
      </c>
      <c r="AM26" s="5">
        <f t="shared" si="11"/>
        <v>9.6666666666666661</v>
      </c>
      <c r="AN26">
        <v>0</v>
      </c>
      <c r="AO26">
        <f t="shared" si="12"/>
        <v>0</v>
      </c>
      <c r="AP26" s="6">
        <f t="shared" si="13"/>
        <v>3.7765181780252304</v>
      </c>
      <c r="AQ26" s="6">
        <f t="shared" si="14"/>
        <v>3.2165181780252303</v>
      </c>
      <c r="AR26" s="5">
        <f t="shared" si="15"/>
        <v>0</v>
      </c>
      <c r="AS26" s="5">
        <f t="shared" si="16"/>
        <v>67.493868501053342</v>
      </c>
      <c r="AT26" s="5">
        <f t="shared" si="17"/>
        <v>67.493868501053342</v>
      </c>
      <c r="AU26" s="5">
        <f t="shared" si="18"/>
        <v>15.584602983760206</v>
      </c>
      <c r="AV26">
        <v>15.8</v>
      </c>
    </row>
    <row r="27" spans="1:48">
      <c r="A27" s="1">
        <v>4</v>
      </c>
      <c r="B27" t="s">
        <v>98</v>
      </c>
      <c r="C27" t="s">
        <v>105</v>
      </c>
      <c r="D27">
        <v>41</v>
      </c>
      <c r="E27">
        <v>7</v>
      </c>
      <c r="F27">
        <v>13</v>
      </c>
      <c r="G27">
        <v>0.35</v>
      </c>
      <c r="H27">
        <v>4.5199999999999996</v>
      </c>
      <c r="I27">
        <v>32</v>
      </c>
      <c r="J27">
        <v>29</v>
      </c>
      <c r="K27">
        <v>1</v>
      </c>
      <c r="L27">
        <v>4</v>
      </c>
      <c r="M27">
        <v>1</v>
      </c>
      <c r="N27">
        <v>0</v>
      </c>
      <c r="O27">
        <v>181.1</v>
      </c>
      <c r="P27">
        <v>223</v>
      </c>
      <c r="Q27">
        <v>97</v>
      </c>
      <c r="R27">
        <v>91</v>
      </c>
      <c r="S27">
        <v>15</v>
      </c>
      <c r="T27">
        <v>56</v>
      </c>
      <c r="U27">
        <v>3</v>
      </c>
      <c r="V27">
        <v>47</v>
      </c>
      <c r="W27">
        <v>4</v>
      </c>
      <c r="X27">
        <v>0</v>
      </c>
      <c r="Y27">
        <v>11</v>
      </c>
      <c r="Z27">
        <v>797</v>
      </c>
      <c r="AA27">
        <v>89</v>
      </c>
      <c r="AB27">
        <v>4.32</v>
      </c>
      <c r="AC27">
        <v>1.5389999999999999</v>
      </c>
      <c r="AD27">
        <v>11.1</v>
      </c>
      <c r="AE27">
        <v>0.7</v>
      </c>
      <c r="AF27">
        <v>2.8</v>
      </c>
      <c r="AG27">
        <v>2.2999999999999998</v>
      </c>
      <c r="AH27">
        <v>0.84</v>
      </c>
      <c r="AI27" t="s">
        <v>106</v>
      </c>
      <c r="AK27" s="6">
        <f t="shared" si="9"/>
        <v>5.9364380537894528</v>
      </c>
      <c r="AL27" s="5">
        <f t="shared" si="10"/>
        <v>25.454325726807767</v>
      </c>
      <c r="AM27" s="5">
        <f t="shared" si="11"/>
        <v>2.666666666666667</v>
      </c>
      <c r="AN27">
        <v>0</v>
      </c>
      <c r="AO27">
        <f t="shared" si="12"/>
        <v>0</v>
      </c>
      <c r="AP27" s="6">
        <f t="shared" si="13"/>
        <v>5.6052503846907964</v>
      </c>
      <c r="AQ27" s="6">
        <f t="shared" si="14"/>
        <v>5.0452503846907959</v>
      </c>
      <c r="AR27" s="5">
        <f t="shared" si="15"/>
        <v>0</v>
      </c>
      <c r="AS27" s="5">
        <f t="shared" si="16"/>
        <v>28.120992393474435</v>
      </c>
      <c r="AT27" s="5">
        <f t="shared" si="17"/>
        <v>28.120992393474435</v>
      </c>
      <c r="AU27" s="5">
        <f t="shared" si="18"/>
        <v>6.4932491157296779</v>
      </c>
      <c r="AV27">
        <v>6.7</v>
      </c>
    </row>
    <row r="28" spans="1:48">
      <c r="A28" s="1">
        <v>5</v>
      </c>
      <c r="B28" t="s">
        <v>98</v>
      </c>
      <c r="C28" t="s">
        <v>107</v>
      </c>
      <c r="D28">
        <v>34</v>
      </c>
      <c r="E28">
        <v>7</v>
      </c>
      <c r="F28">
        <v>10</v>
      </c>
      <c r="G28">
        <v>0.41199999999999998</v>
      </c>
      <c r="H28">
        <v>4.97</v>
      </c>
      <c r="I28">
        <v>32</v>
      </c>
      <c r="J28">
        <v>22</v>
      </c>
      <c r="K28">
        <v>1</v>
      </c>
      <c r="L28">
        <v>5</v>
      </c>
      <c r="M28">
        <v>1</v>
      </c>
      <c r="N28">
        <v>0</v>
      </c>
      <c r="O28">
        <v>163</v>
      </c>
      <c r="P28">
        <v>192</v>
      </c>
      <c r="Q28">
        <v>95</v>
      </c>
      <c r="R28">
        <v>90</v>
      </c>
      <c r="S28">
        <v>22</v>
      </c>
      <c r="T28">
        <v>56</v>
      </c>
      <c r="U28">
        <v>5</v>
      </c>
      <c r="V28">
        <v>67</v>
      </c>
      <c r="W28">
        <v>2</v>
      </c>
      <c r="X28">
        <v>0</v>
      </c>
      <c r="Y28">
        <v>6</v>
      </c>
      <c r="Z28">
        <v>722</v>
      </c>
      <c r="AA28">
        <v>81</v>
      </c>
      <c r="AB28">
        <v>4.7699999999999996</v>
      </c>
      <c r="AC28">
        <v>1.5209999999999999</v>
      </c>
      <c r="AD28">
        <v>10.6</v>
      </c>
      <c r="AE28">
        <v>1.2</v>
      </c>
      <c r="AF28">
        <v>3.1</v>
      </c>
      <c r="AG28">
        <v>3.7</v>
      </c>
      <c r="AH28">
        <v>1.2</v>
      </c>
      <c r="AI28" t="s">
        <v>108</v>
      </c>
      <c r="AK28" s="6">
        <f t="shared" si="9"/>
        <v>5.9364380537894528</v>
      </c>
      <c r="AL28" s="5">
        <f t="shared" si="10"/>
        <v>15.015489196408979</v>
      </c>
      <c r="AM28" s="5">
        <f t="shared" si="11"/>
        <v>3.6666666666666665</v>
      </c>
      <c r="AN28">
        <v>2</v>
      </c>
      <c r="AO28">
        <f t="shared" si="12"/>
        <v>2</v>
      </c>
      <c r="AP28" s="6">
        <f t="shared" si="13"/>
        <v>5.6950986098601364</v>
      </c>
      <c r="AQ28" s="6">
        <f t="shared" si="14"/>
        <v>5.1350986098601368</v>
      </c>
      <c r="AR28" s="5">
        <f t="shared" si="15"/>
        <v>5.3630987539848088E-2</v>
      </c>
      <c r="AS28" s="5">
        <f t="shared" si="16"/>
        <v>18.735786850615494</v>
      </c>
      <c r="AT28" s="5">
        <f t="shared" si="17"/>
        <v>18.735786850615494</v>
      </c>
      <c r="AU28" s="5">
        <f t="shared" si="18"/>
        <v>4.3261677859025154</v>
      </c>
      <c r="AV28">
        <v>4.5</v>
      </c>
    </row>
    <row r="29" spans="1:48">
      <c r="A29" s="1">
        <v>6</v>
      </c>
      <c r="B29" t="s">
        <v>109</v>
      </c>
      <c r="C29" t="s">
        <v>110</v>
      </c>
      <c r="D29">
        <v>30</v>
      </c>
      <c r="E29">
        <v>9</v>
      </c>
      <c r="F29">
        <v>7</v>
      </c>
      <c r="G29">
        <v>0.56299999999999994</v>
      </c>
      <c r="H29">
        <v>3.33</v>
      </c>
      <c r="I29">
        <v>49</v>
      </c>
      <c r="J29">
        <v>0</v>
      </c>
      <c r="K29">
        <v>44</v>
      </c>
      <c r="L29">
        <v>0</v>
      </c>
      <c r="M29">
        <v>0</v>
      </c>
      <c r="N29">
        <v>11</v>
      </c>
      <c r="O29">
        <v>83.2</v>
      </c>
      <c r="P29">
        <v>84</v>
      </c>
      <c r="Q29">
        <v>34</v>
      </c>
      <c r="R29">
        <v>31</v>
      </c>
      <c r="S29">
        <v>10</v>
      </c>
      <c r="T29">
        <v>33</v>
      </c>
      <c r="U29">
        <v>9</v>
      </c>
      <c r="V29">
        <v>62</v>
      </c>
      <c r="W29">
        <v>3</v>
      </c>
      <c r="X29">
        <v>1</v>
      </c>
      <c r="Y29">
        <v>1</v>
      </c>
      <c r="Z29">
        <v>359</v>
      </c>
      <c r="AA29">
        <v>120</v>
      </c>
      <c r="AB29">
        <v>4.13</v>
      </c>
      <c r="AC29">
        <v>1.3979999999999999</v>
      </c>
      <c r="AD29">
        <v>9</v>
      </c>
      <c r="AE29">
        <v>1.1000000000000001</v>
      </c>
      <c r="AF29">
        <v>3.5</v>
      </c>
      <c r="AG29">
        <v>6.7</v>
      </c>
      <c r="AH29">
        <v>1.88</v>
      </c>
      <c r="AI29" t="s">
        <v>111</v>
      </c>
      <c r="AK29" s="6">
        <f t="shared" si="9"/>
        <v>5.9364380537894528</v>
      </c>
      <c r="AL29" s="5">
        <f t="shared" si="10"/>
        <v>22.379071786142497</v>
      </c>
      <c r="AM29" s="5">
        <f t="shared" si="11"/>
        <v>10.333333333333332</v>
      </c>
      <c r="AN29">
        <v>0</v>
      </c>
      <c r="AO29">
        <f t="shared" si="12"/>
        <v>33</v>
      </c>
      <c r="AP29" s="6">
        <f t="shared" si="13"/>
        <v>4.8225654863938292</v>
      </c>
      <c r="AQ29" s="6">
        <f t="shared" si="14"/>
        <v>4.2625654863938287</v>
      </c>
      <c r="AR29" s="5">
        <f t="shared" si="15"/>
        <v>4.0841994137839528</v>
      </c>
      <c r="AS29" s="5">
        <f t="shared" si="16"/>
        <v>36.796604533259782</v>
      </c>
      <c r="AT29" s="5">
        <f t="shared" si="17"/>
        <v>36.796604533259782</v>
      </c>
      <c r="AU29" s="5">
        <f t="shared" si="18"/>
        <v>8.4964825033304336</v>
      </c>
      <c r="AV29">
        <v>8.6999999999999993</v>
      </c>
    </row>
    <row r="30" spans="1:48">
      <c r="A30" s="1">
        <v>7</v>
      </c>
      <c r="B30" t="s">
        <v>112</v>
      </c>
      <c r="C30" t="s">
        <v>113</v>
      </c>
      <c r="D30">
        <v>31</v>
      </c>
      <c r="E30">
        <v>5</v>
      </c>
      <c r="F30">
        <v>1</v>
      </c>
      <c r="G30">
        <v>0.83299999999999996</v>
      </c>
      <c r="H30">
        <v>2.12</v>
      </c>
      <c r="I30">
        <v>45</v>
      </c>
      <c r="J30">
        <v>1</v>
      </c>
      <c r="K30">
        <v>30</v>
      </c>
      <c r="L30">
        <v>0</v>
      </c>
      <c r="M30">
        <v>0</v>
      </c>
      <c r="N30">
        <v>4</v>
      </c>
      <c r="O30">
        <v>85</v>
      </c>
      <c r="P30">
        <v>76</v>
      </c>
      <c r="Q30">
        <v>22</v>
      </c>
      <c r="R30">
        <v>20</v>
      </c>
      <c r="S30">
        <v>2</v>
      </c>
      <c r="T30">
        <v>30</v>
      </c>
      <c r="U30">
        <v>12</v>
      </c>
      <c r="V30">
        <v>48</v>
      </c>
      <c r="W30">
        <v>2</v>
      </c>
      <c r="X30">
        <v>0</v>
      </c>
      <c r="Y30">
        <v>2</v>
      </c>
      <c r="Z30">
        <v>353</v>
      </c>
      <c r="AA30">
        <v>190</v>
      </c>
      <c r="AB30">
        <v>3.07</v>
      </c>
      <c r="AC30">
        <v>1.2470000000000001</v>
      </c>
      <c r="AD30">
        <v>8</v>
      </c>
      <c r="AE30">
        <v>0.2</v>
      </c>
      <c r="AF30">
        <v>3.2</v>
      </c>
      <c r="AG30">
        <v>5.0999999999999996</v>
      </c>
      <c r="AH30">
        <v>1.6</v>
      </c>
      <c r="AI30" t="s">
        <v>114</v>
      </c>
      <c r="AK30" s="6">
        <f t="shared" si="9"/>
        <v>5.9364380537894528</v>
      </c>
      <c r="AL30" s="5">
        <f t="shared" si="10"/>
        <v>35.066359396900388</v>
      </c>
      <c r="AM30" s="5">
        <f t="shared" si="11"/>
        <v>6</v>
      </c>
      <c r="AN30">
        <v>2</v>
      </c>
      <c r="AO30">
        <f t="shared" si="12"/>
        <v>14</v>
      </c>
      <c r="AP30" s="6">
        <f t="shared" si="13"/>
        <v>3.271022149641726</v>
      </c>
      <c r="AQ30" s="6">
        <f t="shared" si="14"/>
        <v>2.7110221496417259</v>
      </c>
      <c r="AR30" s="5">
        <f t="shared" si="15"/>
        <v>4.1462025175631299</v>
      </c>
      <c r="AS30" s="5">
        <f t="shared" si="16"/>
        <v>45.212561914463521</v>
      </c>
      <c r="AT30" s="5">
        <f t="shared" si="17"/>
        <v>45.212561914463521</v>
      </c>
      <c r="AU30" s="5">
        <f t="shared" si="18"/>
        <v>10.439760573282218</v>
      </c>
      <c r="AV30">
        <v>10.4</v>
      </c>
    </row>
    <row r="31" spans="1:48">
      <c r="A31" s="1">
        <v>8</v>
      </c>
      <c r="B31" t="s">
        <v>112</v>
      </c>
      <c r="C31" t="s">
        <v>115</v>
      </c>
      <c r="D31">
        <v>26</v>
      </c>
      <c r="E31">
        <v>2</v>
      </c>
      <c r="F31">
        <v>3</v>
      </c>
      <c r="G31">
        <v>0.4</v>
      </c>
      <c r="H31">
        <v>4.57</v>
      </c>
      <c r="I31">
        <v>29</v>
      </c>
      <c r="J31">
        <v>1</v>
      </c>
      <c r="K31">
        <v>11</v>
      </c>
      <c r="L31">
        <v>0</v>
      </c>
      <c r="M31">
        <v>0</v>
      </c>
      <c r="N31">
        <v>1</v>
      </c>
      <c r="O31">
        <v>69</v>
      </c>
      <c r="P31">
        <v>68</v>
      </c>
      <c r="Q31">
        <v>37</v>
      </c>
      <c r="R31">
        <v>35</v>
      </c>
      <c r="S31">
        <v>13</v>
      </c>
      <c r="T31">
        <v>20</v>
      </c>
      <c r="U31">
        <v>4</v>
      </c>
      <c r="V31">
        <v>41</v>
      </c>
      <c r="W31">
        <v>0</v>
      </c>
      <c r="X31">
        <v>1</v>
      </c>
      <c r="Y31">
        <v>1</v>
      </c>
      <c r="Z31">
        <v>292</v>
      </c>
      <c r="AA31">
        <v>88</v>
      </c>
      <c r="AB31">
        <v>4.9000000000000004</v>
      </c>
      <c r="AC31">
        <v>1.2749999999999999</v>
      </c>
      <c r="AD31">
        <v>8.9</v>
      </c>
      <c r="AE31">
        <v>1.7</v>
      </c>
      <c r="AF31">
        <v>2.6</v>
      </c>
      <c r="AG31">
        <v>5.3</v>
      </c>
      <c r="AH31">
        <v>2.0499999999999998</v>
      </c>
      <c r="AI31" t="s">
        <v>116</v>
      </c>
      <c r="AK31" s="6">
        <f t="shared" si="9"/>
        <v>5.9364380537894528</v>
      </c>
      <c r="AL31" s="5">
        <f t="shared" si="10"/>
        <v>9.5126917457191382</v>
      </c>
      <c r="AM31" s="5">
        <f t="shared" si="11"/>
        <v>1.3333333333333333</v>
      </c>
      <c r="AN31">
        <v>1</v>
      </c>
      <c r="AO31">
        <f t="shared" si="12"/>
        <v>4</v>
      </c>
      <c r="AP31" s="6">
        <f t="shared" si="13"/>
        <v>4.5862826086956519</v>
      </c>
      <c r="AQ31" s="6">
        <f t="shared" si="14"/>
        <v>4.0262826086956522</v>
      </c>
      <c r="AR31" s="5">
        <f t="shared" si="15"/>
        <v>0.60006908670835601</v>
      </c>
      <c r="AS31" s="5">
        <f t="shared" si="16"/>
        <v>11.446094165760828</v>
      </c>
      <c r="AT31" s="5">
        <f t="shared" si="17"/>
        <v>11.446094165760828</v>
      </c>
      <c r="AU31" s="5">
        <f t="shared" si="18"/>
        <v>2.6429487188948508</v>
      </c>
    </row>
    <row r="32" spans="1:48">
      <c r="A32" s="1">
        <v>9</v>
      </c>
      <c r="B32" t="s">
        <v>112</v>
      </c>
      <c r="C32" t="s">
        <v>117</v>
      </c>
      <c r="D32">
        <v>34</v>
      </c>
      <c r="E32">
        <v>4</v>
      </c>
      <c r="F32">
        <v>5</v>
      </c>
      <c r="G32">
        <v>0.44400000000000001</v>
      </c>
      <c r="H32">
        <v>5.37</v>
      </c>
      <c r="I32">
        <v>20</v>
      </c>
      <c r="J32">
        <v>7</v>
      </c>
      <c r="K32">
        <v>8</v>
      </c>
      <c r="L32">
        <v>0</v>
      </c>
      <c r="M32">
        <v>0</v>
      </c>
      <c r="N32">
        <v>2</v>
      </c>
      <c r="O32">
        <v>65.099999999999994</v>
      </c>
      <c r="P32">
        <v>72</v>
      </c>
      <c r="Q32">
        <v>42</v>
      </c>
      <c r="R32">
        <v>39</v>
      </c>
      <c r="S32">
        <v>10</v>
      </c>
      <c r="T32">
        <v>28</v>
      </c>
      <c r="U32">
        <v>3</v>
      </c>
      <c r="V32">
        <v>66</v>
      </c>
      <c r="W32">
        <v>6</v>
      </c>
      <c r="X32">
        <v>0</v>
      </c>
      <c r="Y32">
        <v>4</v>
      </c>
      <c r="Z32">
        <v>294</v>
      </c>
      <c r="AA32">
        <v>75</v>
      </c>
      <c r="AB32">
        <v>4.3</v>
      </c>
      <c r="AC32">
        <v>1.5309999999999999</v>
      </c>
      <c r="AD32">
        <v>9.9</v>
      </c>
      <c r="AE32">
        <v>1.4</v>
      </c>
      <c r="AF32">
        <v>3.9</v>
      </c>
      <c r="AG32">
        <v>9.1</v>
      </c>
      <c r="AH32">
        <v>2.36</v>
      </c>
      <c r="AI32" t="s">
        <v>118</v>
      </c>
      <c r="AK32" s="6">
        <f t="shared" si="9"/>
        <v>5.9364380537894528</v>
      </c>
      <c r="AL32" s="5">
        <f t="shared" si="10"/>
        <v>2.4402352557437084</v>
      </c>
      <c r="AM32" s="5">
        <f t="shared" si="11"/>
        <v>2.9999999999999996</v>
      </c>
      <c r="AN32">
        <v>0</v>
      </c>
      <c r="AO32">
        <f t="shared" si="12"/>
        <v>6</v>
      </c>
      <c r="AP32" s="6">
        <f t="shared" si="13"/>
        <v>6.0915806451612902</v>
      </c>
      <c r="AQ32" s="6">
        <f t="shared" si="14"/>
        <v>5.5315806451612897</v>
      </c>
      <c r="AR32" s="5">
        <f t="shared" si="15"/>
        <v>-0.10342839424789159</v>
      </c>
      <c r="AS32" s="5">
        <f t="shared" si="16"/>
        <v>5.3368068614958162</v>
      </c>
      <c r="AT32" s="5">
        <f t="shared" si="17"/>
        <v>5.3368068614958162</v>
      </c>
      <c r="AU32" s="5">
        <f t="shared" si="18"/>
        <v>1.2322899543996595</v>
      </c>
    </row>
    <row r="33" spans="1:48">
      <c r="A33" s="1">
        <v>10</v>
      </c>
      <c r="B33" t="s">
        <v>112</v>
      </c>
      <c r="C33" t="s">
        <v>119</v>
      </c>
      <c r="D33">
        <v>29</v>
      </c>
      <c r="E33">
        <v>4</v>
      </c>
      <c r="F33">
        <v>1</v>
      </c>
      <c r="G33">
        <v>0.8</v>
      </c>
      <c r="H33">
        <v>1.62</v>
      </c>
      <c r="I33">
        <v>23</v>
      </c>
      <c r="J33">
        <v>0</v>
      </c>
      <c r="K33">
        <v>17</v>
      </c>
      <c r="L33">
        <v>0</v>
      </c>
      <c r="M33">
        <v>0</v>
      </c>
      <c r="N33">
        <v>8</v>
      </c>
      <c r="O33">
        <v>39</v>
      </c>
      <c r="P33">
        <v>30</v>
      </c>
      <c r="Q33">
        <v>7</v>
      </c>
      <c r="R33">
        <v>7</v>
      </c>
      <c r="S33">
        <v>1</v>
      </c>
      <c r="T33">
        <v>19</v>
      </c>
      <c r="U33">
        <v>5</v>
      </c>
      <c r="V33">
        <v>28</v>
      </c>
      <c r="W33">
        <v>0</v>
      </c>
      <c r="X33">
        <v>0</v>
      </c>
      <c r="Y33">
        <v>0</v>
      </c>
      <c r="Z33">
        <v>160</v>
      </c>
      <c r="AA33">
        <v>250</v>
      </c>
      <c r="AB33">
        <v>3.13</v>
      </c>
      <c r="AC33">
        <v>1.256</v>
      </c>
      <c r="AD33">
        <v>6.9</v>
      </c>
      <c r="AE33">
        <v>0.2</v>
      </c>
      <c r="AF33">
        <v>4.4000000000000004</v>
      </c>
      <c r="AG33">
        <v>6.5</v>
      </c>
      <c r="AH33">
        <v>1.47</v>
      </c>
      <c r="AI33" t="s">
        <v>120</v>
      </c>
      <c r="AK33" s="6">
        <f t="shared" si="9"/>
        <v>5.9364380537894528</v>
      </c>
      <c r="AL33" s="5">
        <f t="shared" si="10"/>
        <v>18.724564899754295</v>
      </c>
      <c r="AM33" s="5">
        <f t="shared" si="11"/>
        <v>6.333333333333333</v>
      </c>
      <c r="AN33">
        <v>0</v>
      </c>
      <c r="AO33">
        <f t="shared" si="12"/>
        <v>24</v>
      </c>
      <c r="AP33" s="6">
        <f t="shared" si="13"/>
        <v>3.0948835817307692</v>
      </c>
      <c r="AQ33" s="6">
        <f t="shared" si="14"/>
        <v>2.5348835817307691</v>
      </c>
      <c r="AR33" s="5">
        <f t="shared" si="15"/>
        <v>7.5774785921564893</v>
      </c>
      <c r="AS33" s="5">
        <f t="shared" si="16"/>
        <v>32.635376825244116</v>
      </c>
      <c r="AT33" s="5">
        <f t="shared" si="17"/>
        <v>32.635376825244116</v>
      </c>
      <c r="AU33" s="5">
        <f t="shared" si="18"/>
        <v>7.5356384563866055</v>
      </c>
      <c r="AV33">
        <v>7.6</v>
      </c>
    </row>
    <row r="34" spans="1:48">
      <c r="A34" s="1">
        <v>11</v>
      </c>
      <c r="C34" t="s">
        <v>121</v>
      </c>
      <c r="D34">
        <v>32</v>
      </c>
      <c r="E34">
        <v>1</v>
      </c>
      <c r="F34">
        <v>2</v>
      </c>
      <c r="G34">
        <v>0.33300000000000002</v>
      </c>
      <c r="H34">
        <v>7.06</v>
      </c>
      <c r="I34">
        <v>13</v>
      </c>
      <c r="J34">
        <v>1</v>
      </c>
      <c r="K34">
        <v>5</v>
      </c>
      <c r="L34">
        <v>0</v>
      </c>
      <c r="M34">
        <v>0</v>
      </c>
      <c r="N34">
        <v>0</v>
      </c>
      <c r="O34">
        <v>29.1</v>
      </c>
      <c r="P34">
        <v>33</v>
      </c>
      <c r="Q34">
        <v>26</v>
      </c>
      <c r="R34">
        <v>23</v>
      </c>
      <c r="S34">
        <v>9</v>
      </c>
      <c r="T34">
        <v>13</v>
      </c>
      <c r="U34">
        <v>4</v>
      </c>
      <c r="V34">
        <v>13</v>
      </c>
      <c r="W34">
        <v>0</v>
      </c>
      <c r="X34">
        <v>0</v>
      </c>
      <c r="Y34">
        <v>2</v>
      </c>
      <c r="Z34">
        <v>131</v>
      </c>
      <c r="AA34">
        <v>57</v>
      </c>
      <c r="AB34">
        <v>7.2</v>
      </c>
      <c r="AC34">
        <v>1.5680000000000001</v>
      </c>
      <c r="AD34">
        <v>10.1</v>
      </c>
      <c r="AE34">
        <v>2.8</v>
      </c>
      <c r="AF34">
        <v>4</v>
      </c>
      <c r="AG34">
        <v>4</v>
      </c>
      <c r="AH34">
        <v>1</v>
      </c>
      <c r="AI34" t="s">
        <v>122</v>
      </c>
      <c r="AK34" s="6">
        <f t="shared" si="9"/>
        <v>5.9364380537894528</v>
      </c>
      <c r="AL34" s="5">
        <f t="shared" si="10"/>
        <v>-5.3055169594141027</v>
      </c>
      <c r="AM34" s="5">
        <f t="shared" si="11"/>
        <v>0.33333333333333337</v>
      </c>
      <c r="AN34">
        <v>1</v>
      </c>
      <c r="AO34">
        <f t="shared" si="12"/>
        <v>1</v>
      </c>
      <c r="AP34" s="6">
        <f t="shared" si="13"/>
        <v>6.9382060281734477</v>
      </c>
      <c r="AQ34" s="6">
        <f t="shared" si="14"/>
        <v>6.3782060281734481</v>
      </c>
      <c r="AR34" s="5">
        <f t="shared" si="15"/>
        <v>-0.11130755270933276</v>
      </c>
      <c r="AS34" s="5">
        <f t="shared" si="16"/>
        <v>-5.0834911787901023</v>
      </c>
      <c r="AT34" s="5">
        <f t="shared" si="17"/>
        <v>0</v>
      </c>
      <c r="AU34" s="5">
        <f t="shared" si="18"/>
        <v>0</v>
      </c>
    </row>
    <row r="35" spans="1:48">
      <c r="A35" s="1">
        <v>12</v>
      </c>
      <c r="C35" t="s">
        <v>123</v>
      </c>
      <c r="D35">
        <v>36</v>
      </c>
      <c r="E35">
        <v>1</v>
      </c>
      <c r="F35">
        <v>2</v>
      </c>
      <c r="G35">
        <v>0.33300000000000002</v>
      </c>
      <c r="H35">
        <v>4.4000000000000004</v>
      </c>
      <c r="I35">
        <v>17</v>
      </c>
      <c r="J35">
        <v>0</v>
      </c>
      <c r="K35">
        <v>6</v>
      </c>
      <c r="L35">
        <v>0</v>
      </c>
      <c r="M35">
        <v>0</v>
      </c>
      <c r="N35">
        <v>0</v>
      </c>
      <c r="O35">
        <v>28.2</v>
      </c>
      <c r="P35">
        <v>30</v>
      </c>
      <c r="Q35">
        <v>16</v>
      </c>
      <c r="R35">
        <v>14</v>
      </c>
      <c r="S35">
        <v>4</v>
      </c>
      <c r="T35">
        <v>11</v>
      </c>
      <c r="U35">
        <v>1</v>
      </c>
      <c r="V35">
        <v>18</v>
      </c>
      <c r="W35">
        <v>0</v>
      </c>
      <c r="X35">
        <v>0</v>
      </c>
      <c r="Y35">
        <v>3</v>
      </c>
      <c r="Z35">
        <v>127</v>
      </c>
      <c r="AA35">
        <v>92</v>
      </c>
      <c r="AB35">
        <v>4.4800000000000004</v>
      </c>
      <c r="AC35">
        <v>1.43</v>
      </c>
      <c r="AD35">
        <v>9.4</v>
      </c>
      <c r="AE35">
        <v>1.3</v>
      </c>
      <c r="AF35">
        <v>3.5</v>
      </c>
      <c r="AG35">
        <v>5.7</v>
      </c>
      <c r="AH35">
        <v>1.64</v>
      </c>
      <c r="AI35" t="s">
        <v>124</v>
      </c>
      <c r="AK35" s="6">
        <f t="shared" si="9"/>
        <v>5.9364380537894528</v>
      </c>
      <c r="AL35" s="5">
        <f t="shared" si="10"/>
        <v>3.6008392352069514</v>
      </c>
      <c r="AM35" s="5">
        <f t="shared" si="11"/>
        <v>0.33333333333333337</v>
      </c>
      <c r="AN35">
        <v>2</v>
      </c>
      <c r="AO35">
        <f t="shared" si="12"/>
        <v>2</v>
      </c>
      <c r="AP35" s="6">
        <f t="shared" si="13"/>
        <v>5.0362925950745518</v>
      </c>
      <c r="AQ35" s="6">
        <f t="shared" si="14"/>
        <v>4.4762925950745522</v>
      </c>
      <c r="AR35" s="5">
        <f t="shared" si="15"/>
        <v>0.20003232415886688</v>
      </c>
      <c r="AS35" s="5">
        <f t="shared" si="16"/>
        <v>4.1342048926991515</v>
      </c>
      <c r="AT35" s="5">
        <f t="shared" si="17"/>
        <v>4.1342048926991515</v>
      </c>
      <c r="AU35" s="5">
        <f t="shared" si="18"/>
        <v>0.95460437128788544</v>
      </c>
    </row>
    <row r="36" spans="1:48">
      <c r="A36" s="1">
        <v>13</v>
      </c>
      <c r="C36" t="s">
        <v>125</v>
      </c>
      <c r="D36">
        <v>37</v>
      </c>
      <c r="E36">
        <v>1</v>
      </c>
      <c r="F36">
        <v>1</v>
      </c>
      <c r="G36">
        <v>0.5</v>
      </c>
      <c r="H36">
        <v>2.2000000000000002</v>
      </c>
      <c r="I36">
        <v>2</v>
      </c>
      <c r="J36">
        <v>2</v>
      </c>
      <c r="K36">
        <v>0</v>
      </c>
      <c r="L36">
        <v>1</v>
      </c>
      <c r="M36">
        <v>0</v>
      </c>
      <c r="N36">
        <v>0</v>
      </c>
      <c r="O36">
        <v>16.100000000000001</v>
      </c>
      <c r="P36">
        <v>14</v>
      </c>
      <c r="Q36">
        <v>4</v>
      </c>
      <c r="R36">
        <v>4</v>
      </c>
      <c r="S36">
        <v>2</v>
      </c>
      <c r="T36">
        <v>3</v>
      </c>
      <c r="U36">
        <v>0</v>
      </c>
      <c r="V36">
        <v>10</v>
      </c>
      <c r="W36">
        <v>0</v>
      </c>
      <c r="X36">
        <v>0</v>
      </c>
      <c r="Y36">
        <v>0</v>
      </c>
      <c r="Z36">
        <v>62</v>
      </c>
      <c r="AA36">
        <v>186</v>
      </c>
      <c r="AB36">
        <v>3.69</v>
      </c>
      <c r="AC36">
        <v>1.0409999999999999</v>
      </c>
      <c r="AD36">
        <v>7.7</v>
      </c>
      <c r="AE36">
        <v>1.1000000000000001</v>
      </c>
      <c r="AF36">
        <v>1.7</v>
      </c>
      <c r="AG36">
        <v>5.5</v>
      </c>
      <c r="AH36">
        <v>3.33</v>
      </c>
      <c r="AI36" t="s">
        <v>126</v>
      </c>
      <c r="AK36" s="6">
        <f t="shared" si="9"/>
        <v>5.9364380537894528</v>
      </c>
      <c r="AL36" s="5">
        <f t="shared" si="10"/>
        <v>6.6196280740011346</v>
      </c>
      <c r="AM36" s="5">
        <f t="shared" si="11"/>
        <v>0.66666666666666674</v>
      </c>
      <c r="AN36">
        <v>0</v>
      </c>
      <c r="AO36">
        <f t="shared" si="12"/>
        <v>0</v>
      </c>
      <c r="AP36" s="6">
        <f t="shared" si="13"/>
        <v>3.4032460428771785</v>
      </c>
      <c r="AQ36" s="6">
        <f t="shared" si="14"/>
        <v>2.8432460428771784</v>
      </c>
      <c r="AR36" s="5">
        <f t="shared" si="15"/>
        <v>0</v>
      </c>
      <c r="AS36" s="5">
        <f t="shared" si="16"/>
        <v>7.2862947406678016</v>
      </c>
      <c r="AT36" s="5">
        <f t="shared" si="17"/>
        <v>7.2862947406678016</v>
      </c>
      <c r="AU36" s="5">
        <f t="shared" si="18"/>
        <v>1.6824344681649939</v>
      </c>
    </row>
    <row r="37" spans="1:48">
      <c r="A37" s="1">
        <v>14</v>
      </c>
      <c r="C37" t="s">
        <v>127</v>
      </c>
      <c r="D37">
        <v>27</v>
      </c>
      <c r="E37">
        <v>0</v>
      </c>
      <c r="F37">
        <v>1</v>
      </c>
      <c r="G37">
        <v>0</v>
      </c>
      <c r="H37">
        <v>9</v>
      </c>
      <c r="I37">
        <v>3</v>
      </c>
      <c r="J37">
        <v>3</v>
      </c>
      <c r="K37">
        <v>0</v>
      </c>
      <c r="L37">
        <v>0</v>
      </c>
      <c r="M37">
        <v>0</v>
      </c>
      <c r="N37">
        <v>0</v>
      </c>
      <c r="O37">
        <v>11</v>
      </c>
      <c r="P37">
        <v>16</v>
      </c>
      <c r="Q37">
        <v>13</v>
      </c>
      <c r="R37">
        <v>11</v>
      </c>
      <c r="S37">
        <v>0</v>
      </c>
      <c r="T37">
        <v>9</v>
      </c>
      <c r="U37">
        <v>1</v>
      </c>
      <c r="V37">
        <v>5</v>
      </c>
      <c r="W37">
        <v>0</v>
      </c>
      <c r="X37">
        <v>0</v>
      </c>
      <c r="Y37">
        <v>1</v>
      </c>
      <c r="Z37">
        <v>57</v>
      </c>
      <c r="AA37">
        <v>46</v>
      </c>
      <c r="AB37">
        <v>4.3099999999999996</v>
      </c>
      <c r="AC37">
        <v>2.2730000000000001</v>
      </c>
      <c r="AD37">
        <v>13.1</v>
      </c>
      <c r="AE37">
        <v>0</v>
      </c>
      <c r="AF37">
        <v>7.4</v>
      </c>
      <c r="AG37">
        <v>4.0999999999999996</v>
      </c>
      <c r="AH37">
        <v>0.56000000000000005</v>
      </c>
      <c r="AI37" t="s">
        <v>128</v>
      </c>
      <c r="AK37" s="6">
        <f t="shared" si="9"/>
        <v>5.9364380537894528</v>
      </c>
      <c r="AL37" s="5">
        <f t="shared" si="10"/>
        <v>-4.744353489812891</v>
      </c>
      <c r="AM37" s="5">
        <f t="shared" si="11"/>
        <v>-0.33333333333333331</v>
      </c>
      <c r="AN37">
        <v>0</v>
      </c>
      <c r="AO37">
        <f t="shared" si="12"/>
        <v>0</v>
      </c>
      <c r="AP37" s="6">
        <f t="shared" si="13"/>
        <v>8.0207655502392345</v>
      </c>
      <c r="AQ37" s="6">
        <f t="shared" si="14"/>
        <v>7.460765550239234</v>
      </c>
      <c r="AR37" s="5">
        <f t="shared" si="15"/>
        <v>0</v>
      </c>
      <c r="AS37" s="5">
        <f t="shared" si="16"/>
        <v>-5.077686823146224</v>
      </c>
      <c r="AT37" s="5">
        <f t="shared" si="17"/>
        <v>0</v>
      </c>
      <c r="AU37" s="5">
        <f t="shared" si="18"/>
        <v>0</v>
      </c>
    </row>
    <row r="38" spans="1:48">
      <c r="A38" s="1">
        <v>15</v>
      </c>
      <c r="C38" t="s">
        <v>129</v>
      </c>
      <c r="D38">
        <v>33</v>
      </c>
      <c r="E38">
        <v>0</v>
      </c>
      <c r="F38">
        <v>1</v>
      </c>
      <c r="G38">
        <v>0</v>
      </c>
      <c r="H38">
        <v>10.8</v>
      </c>
      <c r="I38">
        <v>2</v>
      </c>
      <c r="J38">
        <v>1</v>
      </c>
      <c r="K38">
        <v>0</v>
      </c>
      <c r="L38">
        <v>0</v>
      </c>
      <c r="M38">
        <v>0</v>
      </c>
      <c r="N38">
        <v>0</v>
      </c>
      <c r="O38">
        <v>5</v>
      </c>
      <c r="P38">
        <v>8</v>
      </c>
      <c r="Q38">
        <v>6</v>
      </c>
      <c r="R38">
        <v>6</v>
      </c>
      <c r="S38">
        <v>3</v>
      </c>
      <c r="T38">
        <v>0</v>
      </c>
      <c r="U38">
        <v>0</v>
      </c>
      <c r="V38">
        <v>2</v>
      </c>
      <c r="W38">
        <v>0</v>
      </c>
      <c r="X38">
        <v>0</v>
      </c>
      <c r="Y38">
        <v>0</v>
      </c>
      <c r="Z38">
        <v>23</v>
      </c>
      <c r="AA38">
        <v>40</v>
      </c>
      <c r="AB38">
        <v>9.77</v>
      </c>
      <c r="AC38">
        <v>1.6</v>
      </c>
      <c r="AD38">
        <v>14.4</v>
      </c>
      <c r="AE38">
        <v>5.4</v>
      </c>
      <c r="AF38">
        <v>0</v>
      </c>
      <c r="AG38">
        <v>3.6</v>
      </c>
      <c r="AI38" t="s">
        <v>130</v>
      </c>
      <c r="AK38" s="6">
        <f t="shared" si="9"/>
        <v>5.9364380537894528</v>
      </c>
      <c r="AL38" s="5">
        <f t="shared" si="10"/>
        <v>-2.7019788590058598</v>
      </c>
      <c r="AM38" s="5">
        <f t="shared" si="11"/>
        <v>-0.33333333333333331</v>
      </c>
      <c r="AN38">
        <v>1</v>
      </c>
      <c r="AO38">
        <f t="shared" si="12"/>
        <v>1</v>
      </c>
      <c r="AP38" s="6">
        <f t="shared" si="13"/>
        <v>10.183147826086955</v>
      </c>
      <c r="AQ38" s="6">
        <f t="shared" si="14"/>
        <v>9.6231478260869547</v>
      </c>
      <c r="AR38" s="5">
        <f t="shared" si="15"/>
        <v>-0.47185664136638916</v>
      </c>
      <c r="AS38" s="5">
        <f t="shared" si="16"/>
        <v>-3.507168833705582</v>
      </c>
      <c r="AT38" s="5">
        <f t="shared" si="17"/>
        <v>0</v>
      </c>
      <c r="AU38" s="5">
        <f t="shared" si="18"/>
        <v>0</v>
      </c>
    </row>
    <row r="39" spans="1:48">
      <c r="A39" s="1">
        <v>16</v>
      </c>
      <c r="C39" t="s">
        <v>131</v>
      </c>
      <c r="D39">
        <v>27</v>
      </c>
      <c r="E39">
        <v>0</v>
      </c>
      <c r="F39">
        <v>1</v>
      </c>
      <c r="G39">
        <v>0</v>
      </c>
      <c r="H39">
        <v>16.88</v>
      </c>
      <c r="I39">
        <v>1</v>
      </c>
      <c r="J39">
        <v>1</v>
      </c>
      <c r="K39">
        <v>0</v>
      </c>
      <c r="L39">
        <v>0</v>
      </c>
      <c r="M39">
        <v>0</v>
      </c>
      <c r="N39">
        <v>0</v>
      </c>
      <c r="O39">
        <v>2.2000000000000002</v>
      </c>
      <c r="P39">
        <v>6</v>
      </c>
      <c r="Q39">
        <v>5</v>
      </c>
      <c r="R39">
        <v>5</v>
      </c>
      <c r="S39">
        <v>0</v>
      </c>
      <c r="T39">
        <v>2</v>
      </c>
      <c r="U39">
        <v>1</v>
      </c>
      <c r="V39">
        <v>2</v>
      </c>
      <c r="W39">
        <v>0</v>
      </c>
      <c r="X39">
        <v>0</v>
      </c>
      <c r="Y39">
        <v>0</v>
      </c>
      <c r="Z39">
        <v>14</v>
      </c>
      <c r="AA39">
        <v>27</v>
      </c>
      <c r="AB39">
        <v>3.52</v>
      </c>
      <c r="AC39">
        <v>3</v>
      </c>
      <c r="AD39">
        <v>20.3</v>
      </c>
      <c r="AE39">
        <v>0</v>
      </c>
      <c r="AF39">
        <v>6.8</v>
      </c>
      <c r="AG39">
        <v>6.8</v>
      </c>
      <c r="AH39">
        <v>1</v>
      </c>
      <c r="AI39" t="s">
        <v>132</v>
      </c>
      <c r="AK39" s="6">
        <f t="shared" si="9"/>
        <v>5.9364380537894528</v>
      </c>
      <c r="AL39" s="5">
        <f t="shared" si="10"/>
        <v>-3.5488706979625784</v>
      </c>
      <c r="AM39" s="5">
        <f t="shared" si="11"/>
        <v>-0.33333333333333331</v>
      </c>
      <c r="AN39">
        <v>0</v>
      </c>
      <c r="AO39">
        <f t="shared" si="12"/>
        <v>0</v>
      </c>
      <c r="AP39" s="6">
        <f t="shared" si="13"/>
        <v>16.975402597402592</v>
      </c>
      <c r="AQ39" s="6">
        <f t="shared" si="14"/>
        <v>16.415402597402593</v>
      </c>
      <c r="AR39" s="5">
        <f t="shared" si="15"/>
        <v>0</v>
      </c>
      <c r="AS39" s="5">
        <f t="shared" si="16"/>
        <v>-3.8822040312959119</v>
      </c>
      <c r="AT39" s="5">
        <f t="shared" si="17"/>
        <v>0</v>
      </c>
      <c r="AU39" s="5">
        <f t="shared" si="18"/>
        <v>0</v>
      </c>
    </row>
    <row r="40" spans="1:48">
      <c r="A40" s="1">
        <v>17</v>
      </c>
      <c r="C40" t="s">
        <v>133</v>
      </c>
      <c r="D40">
        <v>27</v>
      </c>
      <c r="E40">
        <v>0</v>
      </c>
      <c r="F40">
        <v>0</v>
      </c>
      <c r="H40">
        <v>13.5</v>
      </c>
      <c r="I40">
        <v>1</v>
      </c>
      <c r="J40">
        <v>0</v>
      </c>
      <c r="K40">
        <v>1</v>
      </c>
      <c r="L40">
        <v>0</v>
      </c>
      <c r="M40">
        <v>0</v>
      </c>
      <c r="N40">
        <v>0</v>
      </c>
      <c r="O40">
        <v>2</v>
      </c>
      <c r="P40">
        <v>3</v>
      </c>
      <c r="Q40">
        <v>3</v>
      </c>
      <c r="R40">
        <v>3</v>
      </c>
      <c r="S40">
        <v>0</v>
      </c>
      <c r="T40">
        <v>1</v>
      </c>
      <c r="U40">
        <v>1</v>
      </c>
      <c r="V40">
        <v>1</v>
      </c>
      <c r="W40">
        <v>0</v>
      </c>
      <c r="X40">
        <v>0</v>
      </c>
      <c r="Y40">
        <v>0</v>
      </c>
      <c r="Z40">
        <v>10</v>
      </c>
      <c r="AA40">
        <v>35</v>
      </c>
      <c r="AB40">
        <v>3.27</v>
      </c>
      <c r="AC40">
        <v>2</v>
      </c>
      <c r="AD40">
        <v>13.5</v>
      </c>
      <c r="AE40">
        <v>0</v>
      </c>
      <c r="AF40">
        <v>4.5</v>
      </c>
      <c r="AG40">
        <v>4.5</v>
      </c>
      <c r="AH40">
        <v>1</v>
      </c>
      <c r="AI40" t="s">
        <v>134</v>
      </c>
      <c r="AK40" s="6">
        <f t="shared" si="9"/>
        <v>5.9364380537894528</v>
      </c>
      <c r="AL40" s="5">
        <f t="shared" si="10"/>
        <v>-1.6807915436023437</v>
      </c>
      <c r="AM40" s="5">
        <f t="shared" si="11"/>
        <v>0</v>
      </c>
      <c r="AN40">
        <v>0</v>
      </c>
      <c r="AO40">
        <f t="shared" si="12"/>
        <v>0</v>
      </c>
      <c r="AP40" s="6">
        <f t="shared" si="13"/>
        <v>6.0315299999999992</v>
      </c>
      <c r="AQ40" s="6">
        <f t="shared" si="14"/>
        <v>5.4715299999999996</v>
      </c>
      <c r="AR40" s="5">
        <f t="shared" si="15"/>
        <v>0</v>
      </c>
      <c r="AS40" s="5">
        <f t="shared" si="16"/>
        <v>-1.6807915436023437</v>
      </c>
      <c r="AT40" s="5">
        <f t="shared" si="17"/>
        <v>0</v>
      </c>
      <c r="AU40" s="5">
        <f t="shared" si="18"/>
        <v>0</v>
      </c>
    </row>
    <row r="41" spans="1:48">
      <c r="A41" s="1">
        <v>18</v>
      </c>
      <c r="C41" t="s">
        <v>135</v>
      </c>
      <c r="D41">
        <v>26</v>
      </c>
      <c r="E41">
        <v>0</v>
      </c>
      <c r="F41">
        <v>0</v>
      </c>
      <c r="H41">
        <v>18</v>
      </c>
      <c r="I41">
        <v>1</v>
      </c>
      <c r="J41">
        <v>0</v>
      </c>
      <c r="K41">
        <v>1</v>
      </c>
      <c r="L41">
        <v>0</v>
      </c>
      <c r="M41">
        <v>0</v>
      </c>
      <c r="N41">
        <v>0</v>
      </c>
      <c r="O41">
        <v>1</v>
      </c>
      <c r="P41">
        <v>4</v>
      </c>
      <c r="Q41">
        <v>2</v>
      </c>
      <c r="R41">
        <v>2</v>
      </c>
      <c r="S41">
        <v>1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7</v>
      </c>
      <c r="AA41">
        <v>31</v>
      </c>
      <c r="AB41">
        <v>15.77</v>
      </c>
      <c r="AC41">
        <v>4</v>
      </c>
      <c r="AD41">
        <v>36</v>
      </c>
      <c r="AE41">
        <v>9</v>
      </c>
      <c r="AF41">
        <v>0</v>
      </c>
      <c r="AG41">
        <v>0</v>
      </c>
      <c r="AI41" t="s">
        <v>136</v>
      </c>
      <c r="AK41" s="6">
        <f t="shared" si="9"/>
        <v>5.9364380537894528</v>
      </c>
      <c r="AL41" s="5">
        <f t="shared" si="10"/>
        <v>-1.3403957718011719</v>
      </c>
      <c r="AM41" s="5">
        <f t="shared" si="11"/>
        <v>0</v>
      </c>
      <c r="AN41">
        <v>0</v>
      </c>
      <c r="AO41">
        <f t="shared" si="12"/>
        <v>0</v>
      </c>
      <c r="AP41" s="6">
        <f t="shared" si="13"/>
        <v>35.541514285714285</v>
      </c>
      <c r="AQ41" s="6">
        <f t="shared" si="14"/>
        <v>34.981514285714283</v>
      </c>
      <c r="AR41" s="5">
        <f t="shared" si="15"/>
        <v>0</v>
      </c>
      <c r="AS41" s="5">
        <f t="shared" si="16"/>
        <v>-1.3403957718011719</v>
      </c>
      <c r="AT41" s="5">
        <f t="shared" si="17"/>
        <v>0</v>
      </c>
      <c r="AU41" s="5">
        <f t="shared" si="18"/>
        <v>0</v>
      </c>
    </row>
    <row r="42" spans="1:48">
      <c r="E42">
        <f>SUM(E24:E41)</f>
        <v>81</v>
      </c>
      <c r="F42">
        <f>SUM(F24:F41)</f>
        <v>81</v>
      </c>
      <c r="O42">
        <f>SUM(O24:O41)</f>
        <v>1454.4999999999998</v>
      </c>
      <c r="P42">
        <f>SUM(P24:P41)</f>
        <v>1526</v>
      </c>
      <c r="Q42">
        <f>SUM(Q24:Q41)</f>
        <v>697</v>
      </c>
      <c r="S42">
        <f t="shared" ref="S42:X42" si="19">SUM(S24:S41)</f>
        <v>143</v>
      </c>
      <c r="T42">
        <f t="shared" si="19"/>
        <v>474</v>
      </c>
      <c r="U42">
        <f t="shared" si="19"/>
        <v>59</v>
      </c>
      <c r="V42">
        <f t="shared" si="19"/>
        <v>754</v>
      </c>
      <c r="W42">
        <f t="shared" si="19"/>
        <v>27</v>
      </c>
      <c r="X42">
        <f t="shared" si="19"/>
        <v>3</v>
      </c>
      <c r="Z42">
        <f>SUM(Z24:Z41)</f>
        <v>6234</v>
      </c>
      <c r="AT42" s="5">
        <f>SUM(AT24:AT41)</f>
        <v>389.60777509779041</v>
      </c>
    </row>
    <row r="44" spans="1:48">
      <c r="C44" t="s">
        <v>137</v>
      </c>
    </row>
    <row r="45" spans="1:48">
      <c r="A45" s="1" t="s">
        <v>2</v>
      </c>
      <c r="B45" t="s">
        <v>3</v>
      </c>
      <c r="C45" t="s">
        <v>4</v>
      </c>
      <c r="D45" t="s">
        <v>80</v>
      </c>
      <c r="E45" t="s">
        <v>82</v>
      </c>
      <c r="F45" t="s">
        <v>138</v>
      </c>
      <c r="G45" t="s">
        <v>139</v>
      </c>
      <c r="H45" t="s">
        <v>140</v>
      </c>
      <c r="I45" t="s">
        <v>141</v>
      </c>
      <c r="J45" t="s">
        <v>142</v>
      </c>
      <c r="K45" t="s">
        <v>143</v>
      </c>
      <c r="L45" t="s">
        <v>144</v>
      </c>
      <c r="M45" t="s">
        <v>145</v>
      </c>
      <c r="N45" t="s">
        <v>146</v>
      </c>
      <c r="O45" t="s">
        <v>147</v>
      </c>
      <c r="P45" t="s">
        <v>148</v>
      </c>
      <c r="Q45" t="s">
        <v>149</v>
      </c>
      <c r="R45" t="s">
        <v>150</v>
      </c>
      <c r="S45" t="s">
        <v>88</v>
      </c>
      <c r="T45" t="s">
        <v>13</v>
      </c>
      <c r="U45" t="s">
        <v>14</v>
      </c>
      <c r="V45" t="s">
        <v>151</v>
      </c>
      <c r="W45" t="s">
        <v>28</v>
      </c>
      <c r="AC45" t="s">
        <v>219</v>
      </c>
      <c r="AD45" t="s">
        <v>221</v>
      </c>
      <c r="AE45" t="s">
        <v>222</v>
      </c>
    </row>
    <row r="46" spans="1:48">
      <c r="A46" s="1" t="s">
        <v>152</v>
      </c>
      <c r="B46">
        <v>36</v>
      </c>
      <c r="C46">
        <v>137</v>
      </c>
      <c r="D46">
        <v>133</v>
      </c>
      <c r="E46">
        <v>114</v>
      </c>
      <c r="F46">
        <v>1181.0999999999999</v>
      </c>
      <c r="G46">
        <v>743</v>
      </c>
      <c r="H46">
        <v>660</v>
      </c>
      <c r="I46">
        <v>71</v>
      </c>
      <c r="J46">
        <v>12</v>
      </c>
      <c r="K46">
        <v>10</v>
      </c>
      <c r="L46">
        <v>0.98399999999999999</v>
      </c>
      <c r="M46">
        <v>6</v>
      </c>
      <c r="N46">
        <v>6</v>
      </c>
      <c r="O46">
        <v>6</v>
      </c>
      <c r="P46">
        <v>5.57</v>
      </c>
      <c r="Q46">
        <v>5.34</v>
      </c>
      <c r="R46">
        <v>4</v>
      </c>
      <c r="S46">
        <v>37</v>
      </c>
      <c r="T46">
        <v>52</v>
      </c>
      <c r="U46">
        <v>40</v>
      </c>
      <c r="V46" s="2">
        <v>0.43</v>
      </c>
      <c r="W46" t="s">
        <v>31</v>
      </c>
      <c r="AC46" t="s">
        <v>220</v>
      </c>
      <c r="AD46">
        <f>O42</f>
        <v>1454.4999999999998</v>
      </c>
      <c r="AE46">
        <v>20280</v>
      </c>
    </row>
    <row r="47" spans="1:48">
      <c r="A47" s="1" t="s">
        <v>153</v>
      </c>
      <c r="B47">
        <v>28</v>
      </c>
      <c r="C47">
        <v>46</v>
      </c>
      <c r="D47">
        <v>29</v>
      </c>
      <c r="E47">
        <v>24</v>
      </c>
      <c r="F47">
        <v>276.2</v>
      </c>
      <c r="G47">
        <v>157</v>
      </c>
      <c r="H47">
        <v>146</v>
      </c>
      <c r="I47">
        <v>10</v>
      </c>
      <c r="J47">
        <v>1</v>
      </c>
      <c r="K47">
        <v>1</v>
      </c>
      <c r="L47">
        <v>0.99399999999999999</v>
      </c>
      <c r="M47">
        <v>0</v>
      </c>
      <c r="N47">
        <v>0</v>
      </c>
      <c r="O47">
        <v>0</v>
      </c>
      <c r="P47">
        <v>5.07</v>
      </c>
      <c r="Q47">
        <v>3.39</v>
      </c>
      <c r="R47">
        <v>0</v>
      </c>
      <c r="S47">
        <v>7</v>
      </c>
      <c r="T47">
        <v>19</v>
      </c>
      <c r="U47">
        <v>9</v>
      </c>
      <c r="V47" s="2">
        <v>0.32</v>
      </c>
      <c r="W47" t="s">
        <v>64</v>
      </c>
      <c r="AC47" t="s">
        <v>223</v>
      </c>
      <c r="AD47">
        <f>P42</f>
        <v>1526</v>
      </c>
      <c r="AE47">
        <v>20539</v>
      </c>
    </row>
    <row r="48" spans="1:48">
      <c r="J48">
        <f>SUM(J46:J47)</f>
        <v>13</v>
      </c>
      <c r="R48">
        <f>SUM(R46:R47)</f>
        <v>4</v>
      </c>
      <c r="S48">
        <f>SUM(S46:S47)</f>
        <v>44</v>
      </c>
      <c r="AC48" t="s">
        <v>11</v>
      </c>
      <c r="AD48">
        <f>S42</f>
        <v>143</v>
      </c>
      <c r="AE48">
        <v>1980</v>
      </c>
    </row>
    <row r="49" spans="1:31">
      <c r="C49" t="s">
        <v>154</v>
      </c>
      <c r="AC49" t="s">
        <v>15</v>
      </c>
      <c r="AD49">
        <f>T42</f>
        <v>474</v>
      </c>
      <c r="AE49">
        <v>7171</v>
      </c>
    </row>
    <row r="50" spans="1:31">
      <c r="A50" s="1" t="s">
        <v>2</v>
      </c>
      <c r="B50" t="s">
        <v>3</v>
      </c>
      <c r="C50" t="s">
        <v>4</v>
      </c>
      <c r="D50" t="s">
        <v>80</v>
      </c>
      <c r="E50" t="s">
        <v>82</v>
      </c>
      <c r="F50" t="s">
        <v>138</v>
      </c>
      <c r="G50" t="s">
        <v>139</v>
      </c>
      <c r="H50" t="s">
        <v>140</v>
      </c>
      <c r="I50" t="s">
        <v>141</v>
      </c>
      <c r="J50" t="s">
        <v>142</v>
      </c>
      <c r="K50" t="s">
        <v>143</v>
      </c>
      <c r="L50" t="s">
        <v>144</v>
      </c>
      <c r="M50" t="s">
        <v>145</v>
      </c>
      <c r="N50" t="s">
        <v>146</v>
      </c>
      <c r="O50" t="s">
        <v>155</v>
      </c>
      <c r="P50" t="s">
        <v>156</v>
      </c>
      <c r="Q50" t="s">
        <v>148</v>
      </c>
      <c r="R50" t="s">
        <v>149</v>
      </c>
      <c r="S50" t="s">
        <v>28</v>
      </c>
      <c r="AC50" t="s">
        <v>24</v>
      </c>
      <c r="AD50">
        <f>W42</f>
        <v>27</v>
      </c>
      <c r="AE50">
        <v>419</v>
      </c>
    </row>
    <row r="51" spans="1:31">
      <c r="A51" s="1" t="s">
        <v>157</v>
      </c>
      <c r="B51">
        <v>38</v>
      </c>
      <c r="C51">
        <v>83</v>
      </c>
      <c r="D51">
        <v>80</v>
      </c>
      <c r="E51">
        <v>68</v>
      </c>
      <c r="F51">
        <v>695.1</v>
      </c>
      <c r="G51">
        <v>798</v>
      </c>
      <c r="H51">
        <v>724</v>
      </c>
      <c r="I51">
        <v>59</v>
      </c>
      <c r="J51">
        <v>15</v>
      </c>
      <c r="K51">
        <v>73</v>
      </c>
      <c r="L51">
        <v>0.98099999999999998</v>
      </c>
      <c r="M51">
        <v>0</v>
      </c>
      <c r="N51">
        <v>1</v>
      </c>
      <c r="O51">
        <v>0</v>
      </c>
      <c r="P51">
        <v>0</v>
      </c>
      <c r="Q51">
        <v>10.130000000000001</v>
      </c>
      <c r="R51">
        <v>9.43</v>
      </c>
      <c r="S51" t="s">
        <v>34</v>
      </c>
      <c r="AC51" t="s">
        <v>25</v>
      </c>
      <c r="AD51">
        <v>48</v>
      </c>
      <c r="AE51">
        <v>626</v>
      </c>
    </row>
    <row r="52" spans="1:31">
      <c r="A52" s="1" t="s">
        <v>158</v>
      </c>
      <c r="B52">
        <v>25</v>
      </c>
      <c r="C52">
        <v>41</v>
      </c>
      <c r="D52">
        <v>38</v>
      </c>
      <c r="E52">
        <v>32</v>
      </c>
      <c r="F52">
        <v>336.2</v>
      </c>
      <c r="G52">
        <v>385</v>
      </c>
      <c r="H52">
        <v>355</v>
      </c>
      <c r="I52">
        <v>26</v>
      </c>
      <c r="J52">
        <v>4</v>
      </c>
      <c r="K52">
        <v>27</v>
      </c>
      <c r="L52">
        <v>0.99</v>
      </c>
      <c r="M52">
        <v>2</v>
      </c>
      <c r="N52">
        <v>7</v>
      </c>
      <c r="O52">
        <v>2</v>
      </c>
      <c r="P52">
        <v>0</v>
      </c>
      <c r="Q52">
        <v>10.19</v>
      </c>
      <c r="R52">
        <v>9.2899999999999991</v>
      </c>
      <c r="S52" t="s">
        <v>60</v>
      </c>
      <c r="AC52" t="s">
        <v>88</v>
      </c>
      <c r="AD52">
        <f>S48</f>
        <v>44</v>
      </c>
      <c r="AE52">
        <v>616</v>
      </c>
    </row>
    <row r="53" spans="1:31">
      <c r="A53" s="1" t="s">
        <v>159</v>
      </c>
      <c r="B53">
        <v>31</v>
      </c>
      <c r="C53">
        <v>21</v>
      </c>
      <c r="D53">
        <v>18</v>
      </c>
      <c r="E53">
        <v>17</v>
      </c>
      <c r="F53">
        <v>169</v>
      </c>
      <c r="G53">
        <v>201</v>
      </c>
      <c r="H53">
        <v>186</v>
      </c>
      <c r="I53">
        <v>13</v>
      </c>
      <c r="J53">
        <v>2</v>
      </c>
      <c r="K53">
        <v>17</v>
      </c>
      <c r="L53">
        <v>0.99</v>
      </c>
      <c r="M53">
        <v>-2</v>
      </c>
      <c r="N53">
        <v>-11</v>
      </c>
      <c r="O53">
        <v>-2</v>
      </c>
      <c r="P53">
        <v>0</v>
      </c>
      <c r="Q53">
        <v>10.6</v>
      </c>
      <c r="R53">
        <v>9.48</v>
      </c>
      <c r="S53" t="s">
        <v>68</v>
      </c>
      <c r="AC53" t="s">
        <v>224</v>
      </c>
      <c r="AD53">
        <f>X42</f>
        <v>3</v>
      </c>
      <c r="AE53">
        <v>100</v>
      </c>
    </row>
    <row r="54" spans="1:31">
      <c r="A54" s="1" t="s">
        <v>160</v>
      </c>
      <c r="B54">
        <v>35</v>
      </c>
      <c r="C54">
        <v>25</v>
      </c>
      <c r="D54">
        <v>10</v>
      </c>
      <c r="E54">
        <v>6</v>
      </c>
      <c r="F54">
        <v>109.2</v>
      </c>
      <c r="G54">
        <v>133</v>
      </c>
      <c r="H54">
        <v>120</v>
      </c>
      <c r="I54">
        <v>10</v>
      </c>
      <c r="J54">
        <v>3</v>
      </c>
      <c r="K54">
        <v>18</v>
      </c>
      <c r="L54">
        <v>0.97699999999999998</v>
      </c>
      <c r="M54">
        <v>0</v>
      </c>
      <c r="N54">
        <v>-1</v>
      </c>
      <c r="O54">
        <v>0</v>
      </c>
      <c r="P54">
        <v>0</v>
      </c>
      <c r="Q54">
        <v>10.67</v>
      </c>
      <c r="R54">
        <v>5.2</v>
      </c>
      <c r="S54" t="s">
        <v>36</v>
      </c>
      <c r="AC54" t="s">
        <v>150</v>
      </c>
      <c r="AD54">
        <f>R48</f>
        <v>4</v>
      </c>
      <c r="AE54">
        <v>148</v>
      </c>
    </row>
    <row r="55" spans="1:31">
      <c r="A55" s="1" t="s">
        <v>161</v>
      </c>
      <c r="B55">
        <v>26</v>
      </c>
      <c r="C55">
        <v>16</v>
      </c>
      <c r="D55">
        <v>13</v>
      </c>
      <c r="E55">
        <v>7</v>
      </c>
      <c r="F55">
        <v>108</v>
      </c>
      <c r="G55">
        <v>100</v>
      </c>
      <c r="H55">
        <v>92</v>
      </c>
      <c r="I55">
        <v>7</v>
      </c>
      <c r="J55">
        <v>1</v>
      </c>
      <c r="K55">
        <v>12</v>
      </c>
      <c r="L55">
        <v>0.99</v>
      </c>
      <c r="M55">
        <v>0</v>
      </c>
      <c r="N55">
        <v>-4</v>
      </c>
      <c r="O55">
        <v>0</v>
      </c>
      <c r="P55">
        <v>0</v>
      </c>
      <c r="Q55">
        <v>8.25</v>
      </c>
      <c r="R55">
        <v>6.19</v>
      </c>
      <c r="S55" t="s">
        <v>70</v>
      </c>
      <c r="AC55" t="s">
        <v>225</v>
      </c>
      <c r="AD55">
        <v>1803</v>
      </c>
      <c r="AE55">
        <v>24280</v>
      </c>
    </row>
    <row r="56" spans="1:31">
      <c r="A56" s="1" t="s">
        <v>153</v>
      </c>
      <c r="B56">
        <v>28</v>
      </c>
      <c r="C56">
        <v>7</v>
      </c>
      <c r="D56">
        <v>3</v>
      </c>
      <c r="E56">
        <v>3</v>
      </c>
      <c r="F56">
        <v>39.1</v>
      </c>
      <c r="G56">
        <v>40</v>
      </c>
      <c r="H56">
        <v>38</v>
      </c>
      <c r="I56">
        <v>2</v>
      </c>
      <c r="J56">
        <v>0</v>
      </c>
      <c r="K56">
        <v>5</v>
      </c>
      <c r="L56">
        <v>1</v>
      </c>
      <c r="M56">
        <v>0</v>
      </c>
      <c r="N56">
        <v>3</v>
      </c>
      <c r="O56">
        <v>0</v>
      </c>
      <c r="P56">
        <v>0</v>
      </c>
      <c r="Q56">
        <v>9.15</v>
      </c>
      <c r="R56">
        <v>5.71</v>
      </c>
      <c r="S56" t="s">
        <v>64</v>
      </c>
      <c r="AC56" t="s">
        <v>143</v>
      </c>
      <c r="AD56">
        <v>170</v>
      </c>
      <c r="AE56">
        <v>2179</v>
      </c>
    </row>
    <row r="57" spans="1:31">
      <c r="J57">
        <f>SUM(J51:J56)</f>
        <v>25</v>
      </c>
      <c r="AC57" t="s">
        <v>226</v>
      </c>
      <c r="AE57">
        <f>AE47-AE48-3443-534</f>
        <v>14582</v>
      </c>
    </row>
    <row r="58" spans="1:31">
      <c r="C58" t="s">
        <v>162</v>
      </c>
      <c r="AC58" t="s">
        <v>227</v>
      </c>
      <c r="AE58" s="6">
        <f>AE57/(AE47-AE48)</f>
        <v>0.78571043698475129</v>
      </c>
    </row>
    <row r="59" spans="1:31">
      <c r="A59" s="1" t="s">
        <v>2</v>
      </c>
      <c r="B59" t="s">
        <v>3</v>
      </c>
      <c r="C59" t="s">
        <v>4</v>
      </c>
      <c r="D59" t="s">
        <v>80</v>
      </c>
      <c r="E59" t="s">
        <v>82</v>
      </c>
      <c r="F59" t="s">
        <v>138</v>
      </c>
      <c r="G59" t="s">
        <v>139</v>
      </c>
      <c r="H59" t="s">
        <v>140</v>
      </c>
      <c r="I59" t="s">
        <v>141</v>
      </c>
      <c r="J59" t="s">
        <v>142</v>
      </c>
      <c r="K59" t="s">
        <v>143</v>
      </c>
      <c r="L59" t="s">
        <v>144</v>
      </c>
      <c r="M59" t="s">
        <v>145</v>
      </c>
      <c r="N59" t="s">
        <v>146</v>
      </c>
      <c r="O59" t="s">
        <v>155</v>
      </c>
      <c r="P59" t="s">
        <v>156</v>
      </c>
      <c r="Q59" t="s">
        <v>148</v>
      </c>
      <c r="R59" t="s">
        <v>149</v>
      </c>
      <c r="S59" t="s">
        <v>28</v>
      </c>
      <c r="AC59" t="s">
        <v>228</v>
      </c>
      <c r="AD59">
        <f>(AD47-AD48)*AE58+AD49+AD50-AD51-AD52-AD53-AD54</f>
        <v>1488.637534349911</v>
      </c>
      <c r="AE59">
        <f>(AE47-AE48)*AE58+AE49+AE50-AE51-AE52-AE53-AE54</f>
        <v>20682</v>
      </c>
    </row>
    <row r="60" spans="1:31">
      <c r="A60" s="1" t="s">
        <v>160</v>
      </c>
      <c r="B60">
        <v>35</v>
      </c>
      <c r="C60">
        <v>91</v>
      </c>
      <c r="D60">
        <v>84</v>
      </c>
      <c r="E60">
        <v>62</v>
      </c>
      <c r="F60">
        <v>719.2</v>
      </c>
      <c r="G60">
        <v>439</v>
      </c>
      <c r="H60">
        <v>182</v>
      </c>
      <c r="I60">
        <v>249</v>
      </c>
      <c r="J60">
        <v>8</v>
      </c>
      <c r="K60">
        <v>65</v>
      </c>
      <c r="L60">
        <v>0.98199999999999998</v>
      </c>
      <c r="M60">
        <v>-8</v>
      </c>
      <c r="N60">
        <v>-14</v>
      </c>
      <c r="O60">
        <v>-9</v>
      </c>
      <c r="P60">
        <v>1</v>
      </c>
      <c r="Q60">
        <v>5.39</v>
      </c>
      <c r="R60">
        <v>4.74</v>
      </c>
      <c r="S60" t="s">
        <v>36</v>
      </c>
      <c r="AC60" t="s">
        <v>229</v>
      </c>
      <c r="AD60" s="4">
        <f>AD56/AD59</f>
        <v>0.11419838347300514</v>
      </c>
      <c r="AE60" s="4">
        <f>AE56/AE59</f>
        <v>0.10535731554008317</v>
      </c>
    </row>
    <row r="61" spans="1:31">
      <c r="A61" s="1" t="s">
        <v>176</v>
      </c>
      <c r="B61">
        <v>30</v>
      </c>
      <c r="C61">
        <v>97</v>
      </c>
      <c r="D61">
        <v>71</v>
      </c>
      <c r="E61">
        <v>64</v>
      </c>
      <c r="F61">
        <v>683.1</v>
      </c>
      <c r="G61">
        <v>438</v>
      </c>
      <c r="H61">
        <v>161</v>
      </c>
      <c r="I61">
        <v>266</v>
      </c>
      <c r="J61">
        <v>11</v>
      </c>
      <c r="K61">
        <v>48</v>
      </c>
      <c r="L61">
        <v>0.97499999999999998</v>
      </c>
      <c r="M61">
        <v>3</v>
      </c>
      <c r="N61">
        <v>6</v>
      </c>
      <c r="O61">
        <v>4</v>
      </c>
      <c r="P61">
        <v>-1</v>
      </c>
      <c r="Q61">
        <v>5.62</v>
      </c>
      <c r="R61">
        <v>4.4000000000000004</v>
      </c>
      <c r="S61" t="s">
        <v>58</v>
      </c>
      <c r="AC61" t="s">
        <v>230</v>
      </c>
      <c r="AD61">
        <f>AD55/AD46</f>
        <v>1.2396012375386734</v>
      </c>
      <c r="AE61" s="6">
        <f>AE55/AE46</f>
        <v>1.1972386587771202</v>
      </c>
    </row>
    <row r="62" spans="1:31">
      <c r="A62" s="1" t="s">
        <v>174</v>
      </c>
      <c r="B62">
        <v>31</v>
      </c>
      <c r="C62">
        <v>9</v>
      </c>
      <c r="D62">
        <v>7</v>
      </c>
      <c r="E62">
        <v>3</v>
      </c>
      <c r="F62">
        <v>55</v>
      </c>
      <c r="G62">
        <v>40</v>
      </c>
      <c r="H62">
        <v>14</v>
      </c>
      <c r="I62">
        <v>25</v>
      </c>
      <c r="J62">
        <v>1</v>
      </c>
      <c r="K62">
        <v>5</v>
      </c>
      <c r="L62">
        <v>0.97499999999999998</v>
      </c>
      <c r="M62">
        <v>2</v>
      </c>
      <c r="N62">
        <v>35</v>
      </c>
      <c r="O62">
        <v>2</v>
      </c>
      <c r="P62">
        <v>0</v>
      </c>
      <c r="Q62">
        <v>6.38</v>
      </c>
      <c r="R62">
        <v>4.33</v>
      </c>
      <c r="S62" t="s">
        <v>66</v>
      </c>
      <c r="AC62" t="s">
        <v>231</v>
      </c>
      <c r="AD62">
        <f>AD61/AE61</f>
        <v>1.0353835707283483</v>
      </c>
    </row>
    <row r="63" spans="1:31">
      <c r="J63">
        <f>SUM(J60:J62)</f>
        <v>20</v>
      </c>
      <c r="AC63" t="s">
        <v>232</v>
      </c>
      <c r="AD63">
        <f>AD59*AE60</f>
        <v>156.83885443131496</v>
      </c>
    </row>
    <row r="64" spans="1:31">
      <c r="C64" t="s">
        <v>163</v>
      </c>
      <c r="AC64" t="s">
        <v>233</v>
      </c>
      <c r="AD64">
        <f>AD63*AD62</f>
        <v>162.3883731300385</v>
      </c>
    </row>
    <row r="65" spans="1:19">
      <c r="A65" s="1" t="s">
        <v>2</v>
      </c>
      <c r="B65" t="s">
        <v>3</v>
      </c>
      <c r="C65" t="s">
        <v>4</v>
      </c>
      <c r="D65" t="s">
        <v>80</v>
      </c>
      <c r="E65" t="s">
        <v>82</v>
      </c>
      <c r="F65" t="s">
        <v>138</v>
      </c>
      <c r="G65" t="s">
        <v>139</v>
      </c>
      <c r="H65" t="s">
        <v>140</v>
      </c>
      <c r="I65" t="s">
        <v>141</v>
      </c>
      <c r="J65" t="s">
        <v>142</v>
      </c>
      <c r="K65" t="s">
        <v>143</v>
      </c>
      <c r="L65" t="s">
        <v>144</v>
      </c>
      <c r="M65" t="s">
        <v>145</v>
      </c>
      <c r="N65" t="s">
        <v>146</v>
      </c>
      <c r="O65" t="s">
        <v>155</v>
      </c>
      <c r="P65" t="s">
        <v>156</v>
      </c>
      <c r="Q65" t="s">
        <v>148</v>
      </c>
      <c r="R65" t="s">
        <v>149</v>
      </c>
      <c r="S65" t="s">
        <v>28</v>
      </c>
    </row>
    <row r="66" spans="1:19">
      <c r="A66" s="1" t="s">
        <v>177</v>
      </c>
      <c r="B66">
        <v>33</v>
      </c>
      <c r="C66">
        <v>140</v>
      </c>
      <c r="D66">
        <v>138</v>
      </c>
      <c r="E66">
        <v>122</v>
      </c>
      <c r="F66">
        <v>1201.0999999999999</v>
      </c>
      <c r="G66">
        <v>387</v>
      </c>
      <c r="H66">
        <v>107</v>
      </c>
      <c r="I66">
        <v>266</v>
      </c>
      <c r="J66">
        <v>14</v>
      </c>
      <c r="K66">
        <v>22</v>
      </c>
      <c r="L66">
        <v>0.96399999999999997</v>
      </c>
      <c r="M66">
        <v>-1</v>
      </c>
      <c r="N66">
        <v>-1</v>
      </c>
      <c r="O66">
        <v>-1</v>
      </c>
      <c r="P66">
        <v>0</v>
      </c>
      <c r="Q66">
        <v>2.79</v>
      </c>
      <c r="R66">
        <v>2.66</v>
      </c>
      <c r="S66" t="s">
        <v>41</v>
      </c>
    </row>
    <row r="67" spans="1:19">
      <c r="A67" s="1" t="s">
        <v>160</v>
      </c>
      <c r="B67">
        <v>35</v>
      </c>
      <c r="C67">
        <v>21</v>
      </c>
      <c r="D67">
        <v>12</v>
      </c>
      <c r="E67">
        <v>11</v>
      </c>
      <c r="F67">
        <v>130</v>
      </c>
      <c r="G67">
        <v>33</v>
      </c>
      <c r="H67">
        <v>9</v>
      </c>
      <c r="I67">
        <v>23</v>
      </c>
      <c r="J67">
        <v>1</v>
      </c>
      <c r="K67">
        <v>1</v>
      </c>
      <c r="L67">
        <v>0.97</v>
      </c>
      <c r="M67">
        <v>-1</v>
      </c>
      <c r="N67">
        <v>-6</v>
      </c>
      <c r="O67">
        <v>-1</v>
      </c>
      <c r="P67">
        <v>0</v>
      </c>
      <c r="Q67">
        <v>2.2200000000000002</v>
      </c>
      <c r="R67">
        <v>1.52</v>
      </c>
      <c r="S67" t="s">
        <v>36</v>
      </c>
    </row>
    <row r="68" spans="1:19">
      <c r="A68" s="1" t="s">
        <v>159</v>
      </c>
      <c r="B68">
        <v>31</v>
      </c>
      <c r="C68">
        <v>9</v>
      </c>
      <c r="D68">
        <v>7</v>
      </c>
      <c r="E68">
        <v>2</v>
      </c>
      <c r="F68">
        <v>58</v>
      </c>
      <c r="G68">
        <v>20</v>
      </c>
      <c r="H68">
        <v>9</v>
      </c>
      <c r="I68">
        <v>10</v>
      </c>
      <c r="J68">
        <v>1</v>
      </c>
      <c r="K68">
        <v>1</v>
      </c>
      <c r="L68">
        <v>0.95</v>
      </c>
      <c r="M68">
        <v>-1</v>
      </c>
      <c r="N68">
        <v>-19</v>
      </c>
      <c r="O68">
        <v>-1</v>
      </c>
      <c r="P68">
        <v>0</v>
      </c>
      <c r="Q68">
        <v>2.95</v>
      </c>
      <c r="R68">
        <v>2.11</v>
      </c>
      <c r="S68" t="s">
        <v>68</v>
      </c>
    </row>
    <row r="69" spans="1:19">
      <c r="A69" s="1" t="s">
        <v>174</v>
      </c>
      <c r="B69">
        <v>31</v>
      </c>
      <c r="C69">
        <v>13</v>
      </c>
      <c r="D69">
        <v>2</v>
      </c>
      <c r="E69">
        <v>1</v>
      </c>
      <c r="F69">
        <v>43</v>
      </c>
      <c r="G69">
        <v>15</v>
      </c>
      <c r="H69">
        <v>3</v>
      </c>
      <c r="I69">
        <v>11</v>
      </c>
      <c r="J69">
        <v>1</v>
      </c>
      <c r="K69">
        <v>0</v>
      </c>
      <c r="L69">
        <v>0.93300000000000005</v>
      </c>
      <c r="M69">
        <v>-1</v>
      </c>
      <c r="N69">
        <v>-33</v>
      </c>
      <c r="O69">
        <v>-1</v>
      </c>
      <c r="P69">
        <v>0</v>
      </c>
      <c r="Q69">
        <v>2.93</v>
      </c>
      <c r="R69">
        <v>1.08</v>
      </c>
      <c r="S69" t="s">
        <v>66</v>
      </c>
    </row>
    <row r="70" spans="1:19">
      <c r="A70" s="1" t="s">
        <v>172</v>
      </c>
      <c r="B70">
        <v>33</v>
      </c>
      <c r="C70">
        <v>3</v>
      </c>
      <c r="D70">
        <v>2</v>
      </c>
      <c r="E70">
        <v>1</v>
      </c>
      <c r="F70">
        <v>17</v>
      </c>
      <c r="G70">
        <v>1</v>
      </c>
      <c r="H70">
        <v>1</v>
      </c>
      <c r="I70">
        <v>0</v>
      </c>
      <c r="J70">
        <v>0</v>
      </c>
      <c r="K70">
        <v>0</v>
      </c>
      <c r="L70">
        <v>1</v>
      </c>
      <c r="M70">
        <v>-1</v>
      </c>
      <c r="N70">
        <v>-99</v>
      </c>
      <c r="O70">
        <v>-1</v>
      </c>
      <c r="P70">
        <v>0</v>
      </c>
      <c r="Q70">
        <v>0.53</v>
      </c>
      <c r="R70">
        <v>0.33</v>
      </c>
      <c r="S70" t="s">
        <v>73</v>
      </c>
    </row>
    <row r="71" spans="1:19">
      <c r="J71">
        <f>SUM(J66:J70)</f>
        <v>17</v>
      </c>
    </row>
    <row r="72" spans="1:19">
      <c r="C72" t="s">
        <v>164</v>
      </c>
    </row>
    <row r="73" spans="1:19">
      <c r="A73" s="1" t="s">
        <v>2</v>
      </c>
      <c r="B73" t="s">
        <v>3</v>
      </c>
      <c r="C73" t="s">
        <v>4</v>
      </c>
      <c r="D73" t="s">
        <v>80</v>
      </c>
      <c r="E73" t="s">
        <v>82</v>
      </c>
      <c r="F73" t="s">
        <v>138</v>
      </c>
      <c r="G73" t="s">
        <v>139</v>
      </c>
      <c r="H73" t="s">
        <v>140</v>
      </c>
      <c r="I73" t="s">
        <v>141</v>
      </c>
      <c r="J73" t="s">
        <v>142</v>
      </c>
      <c r="K73" t="s">
        <v>143</v>
      </c>
      <c r="L73" t="s">
        <v>144</v>
      </c>
      <c r="M73" t="s">
        <v>145</v>
      </c>
      <c r="N73" t="s">
        <v>146</v>
      </c>
      <c r="O73" t="s">
        <v>155</v>
      </c>
      <c r="P73" t="s">
        <v>156</v>
      </c>
      <c r="Q73" t="s">
        <v>148</v>
      </c>
      <c r="R73" t="s">
        <v>149</v>
      </c>
      <c r="S73" t="s">
        <v>28</v>
      </c>
    </row>
    <row r="74" spans="1:19">
      <c r="A74" s="1" t="s">
        <v>175</v>
      </c>
      <c r="B74">
        <v>21</v>
      </c>
      <c r="C74">
        <v>140</v>
      </c>
      <c r="D74">
        <v>136</v>
      </c>
      <c r="E74">
        <v>94</v>
      </c>
      <c r="F74">
        <v>1156.0999999999999</v>
      </c>
      <c r="G74">
        <v>650</v>
      </c>
      <c r="H74">
        <v>218</v>
      </c>
      <c r="I74">
        <v>420</v>
      </c>
      <c r="J74">
        <v>12</v>
      </c>
      <c r="K74">
        <v>95</v>
      </c>
      <c r="L74">
        <v>0.98199999999999998</v>
      </c>
      <c r="M74">
        <v>-1</v>
      </c>
      <c r="N74">
        <v>-1</v>
      </c>
      <c r="O74">
        <v>-2</v>
      </c>
      <c r="P74">
        <v>1</v>
      </c>
      <c r="Q74">
        <v>4.97</v>
      </c>
      <c r="R74">
        <v>4.5599999999999996</v>
      </c>
      <c r="S74" t="s">
        <v>39</v>
      </c>
    </row>
    <row r="75" spans="1:19">
      <c r="A75" s="1" t="s">
        <v>174</v>
      </c>
      <c r="B75">
        <v>31</v>
      </c>
      <c r="C75">
        <v>66</v>
      </c>
      <c r="D75">
        <v>26</v>
      </c>
      <c r="E75">
        <v>18</v>
      </c>
      <c r="F75">
        <v>288.2</v>
      </c>
      <c r="G75">
        <v>154</v>
      </c>
      <c r="H75">
        <v>51</v>
      </c>
      <c r="I75">
        <v>99</v>
      </c>
      <c r="J75">
        <v>4</v>
      </c>
      <c r="K75">
        <v>17</v>
      </c>
      <c r="L75">
        <v>0.97399999999999998</v>
      </c>
      <c r="M75">
        <v>0</v>
      </c>
      <c r="N75">
        <v>0</v>
      </c>
      <c r="O75">
        <v>2</v>
      </c>
      <c r="P75">
        <v>-2</v>
      </c>
      <c r="Q75">
        <v>4.68</v>
      </c>
      <c r="R75">
        <v>2.27</v>
      </c>
      <c r="S75" t="s">
        <v>66</v>
      </c>
    </row>
    <row r="76" spans="1:19">
      <c r="A76" s="1" t="s">
        <v>172</v>
      </c>
      <c r="B76">
        <v>33</v>
      </c>
      <c r="C76">
        <v>4</v>
      </c>
      <c r="D76">
        <v>0</v>
      </c>
      <c r="E76">
        <v>0</v>
      </c>
      <c r="F76">
        <v>6.2</v>
      </c>
      <c r="G76">
        <v>4</v>
      </c>
      <c r="H76">
        <v>3</v>
      </c>
      <c r="I76">
        <v>1</v>
      </c>
      <c r="J76">
        <v>0</v>
      </c>
      <c r="K76">
        <v>1</v>
      </c>
      <c r="L76">
        <v>1</v>
      </c>
      <c r="M76">
        <v>-1</v>
      </c>
      <c r="N76">
        <v>-90</v>
      </c>
      <c r="O76">
        <v>-1</v>
      </c>
      <c r="P76">
        <v>0</v>
      </c>
      <c r="Q76">
        <v>5.4</v>
      </c>
      <c r="R76">
        <v>1</v>
      </c>
      <c r="S76" t="s">
        <v>73</v>
      </c>
    </row>
    <row r="77" spans="1:19">
      <c r="A77" s="1" t="s">
        <v>176</v>
      </c>
      <c r="B77">
        <v>30</v>
      </c>
      <c r="C77">
        <v>4</v>
      </c>
      <c r="D77">
        <v>0</v>
      </c>
      <c r="E77">
        <v>0</v>
      </c>
      <c r="F77">
        <v>6.1</v>
      </c>
      <c r="G77">
        <v>4</v>
      </c>
      <c r="H77">
        <v>1</v>
      </c>
      <c r="I77">
        <v>2</v>
      </c>
      <c r="J77">
        <v>1</v>
      </c>
      <c r="K77">
        <v>0</v>
      </c>
      <c r="L77">
        <v>0.75</v>
      </c>
      <c r="M77">
        <v>-1</v>
      </c>
      <c r="N77">
        <v>-189</v>
      </c>
      <c r="O77">
        <v>-1</v>
      </c>
      <c r="P77">
        <v>0</v>
      </c>
      <c r="Q77">
        <v>4.26</v>
      </c>
      <c r="R77">
        <v>0.75</v>
      </c>
      <c r="S77" t="s">
        <v>58</v>
      </c>
    </row>
    <row r="78" spans="1:19">
      <c r="J78">
        <f>SUM(J74:J77)</f>
        <v>17</v>
      </c>
    </row>
    <row r="79" spans="1:19">
      <c r="C79" t="s">
        <v>165</v>
      </c>
    </row>
    <row r="80" spans="1:19">
      <c r="A80" s="1" t="s">
        <v>2</v>
      </c>
      <c r="B80" t="s">
        <v>3</v>
      </c>
      <c r="C80" t="s">
        <v>4</v>
      </c>
      <c r="D80" t="s">
        <v>80</v>
      </c>
      <c r="E80" t="s">
        <v>82</v>
      </c>
      <c r="F80" t="s">
        <v>138</v>
      </c>
      <c r="G80" t="s">
        <v>139</v>
      </c>
      <c r="H80" t="s">
        <v>140</v>
      </c>
      <c r="I80" t="s">
        <v>141</v>
      </c>
      <c r="J80" t="s">
        <v>142</v>
      </c>
      <c r="K80" t="s">
        <v>143</v>
      </c>
      <c r="L80" t="s">
        <v>144</v>
      </c>
      <c r="M80" t="s">
        <v>145</v>
      </c>
      <c r="N80" t="s">
        <v>146</v>
      </c>
      <c r="O80" t="s">
        <v>155</v>
      </c>
      <c r="P80" t="s">
        <v>166</v>
      </c>
      <c r="Q80" t="s">
        <v>148</v>
      </c>
      <c r="R80" t="s">
        <v>149</v>
      </c>
      <c r="S80" t="s">
        <v>28</v>
      </c>
    </row>
    <row r="81" spans="1:19">
      <c r="A81" s="1" t="s">
        <v>167</v>
      </c>
      <c r="B81">
        <v>32</v>
      </c>
      <c r="C81">
        <v>140</v>
      </c>
      <c r="D81">
        <v>135</v>
      </c>
      <c r="E81">
        <v>94</v>
      </c>
      <c r="F81">
        <v>1202</v>
      </c>
      <c r="G81">
        <v>339</v>
      </c>
      <c r="H81">
        <v>321</v>
      </c>
      <c r="I81">
        <v>12</v>
      </c>
      <c r="J81">
        <v>6</v>
      </c>
      <c r="K81">
        <v>5</v>
      </c>
      <c r="L81">
        <v>0.98199999999999998</v>
      </c>
      <c r="M81">
        <v>-2</v>
      </c>
      <c r="N81">
        <v>-2</v>
      </c>
      <c r="O81">
        <v>-2</v>
      </c>
      <c r="P81">
        <v>0</v>
      </c>
      <c r="Q81">
        <v>2.4900000000000002</v>
      </c>
      <c r="R81">
        <v>2.38</v>
      </c>
      <c r="S81" t="s">
        <v>50</v>
      </c>
    </row>
    <row r="82" spans="1:19">
      <c r="A82" s="1" t="s">
        <v>168</v>
      </c>
      <c r="B82">
        <v>33</v>
      </c>
      <c r="C82">
        <v>131</v>
      </c>
      <c r="D82">
        <v>131</v>
      </c>
      <c r="E82">
        <v>93</v>
      </c>
      <c r="F82">
        <v>1106</v>
      </c>
      <c r="G82">
        <v>277</v>
      </c>
      <c r="H82">
        <v>272</v>
      </c>
      <c r="I82">
        <v>5</v>
      </c>
      <c r="J82">
        <v>0</v>
      </c>
      <c r="K82">
        <v>0</v>
      </c>
      <c r="L82">
        <v>1</v>
      </c>
      <c r="M82">
        <v>0</v>
      </c>
      <c r="N82">
        <v>0</v>
      </c>
      <c r="O82">
        <v>-1</v>
      </c>
      <c r="P82">
        <v>1</v>
      </c>
      <c r="Q82">
        <v>2.25</v>
      </c>
      <c r="R82">
        <v>2.11</v>
      </c>
      <c r="S82" t="s">
        <v>44</v>
      </c>
    </row>
    <row r="83" spans="1:19">
      <c r="A83" s="1" t="s">
        <v>169</v>
      </c>
      <c r="B83">
        <v>26</v>
      </c>
      <c r="C83">
        <v>134</v>
      </c>
      <c r="D83">
        <v>98</v>
      </c>
      <c r="E83">
        <v>92</v>
      </c>
      <c r="F83">
        <v>950</v>
      </c>
      <c r="G83">
        <v>354</v>
      </c>
      <c r="H83">
        <v>337</v>
      </c>
      <c r="I83">
        <v>11</v>
      </c>
      <c r="J83">
        <v>6</v>
      </c>
      <c r="K83">
        <v>4</v>
      </c>
      <c r="L83">
        <v>0.98299999999999998</v>
      </c>
      <c r="M83">
        <v>9</v>
      </c>
      <c r="N83">
        <v>11</v>
      </c>
      <c r="O83">
        <v>8</v>
      </c>
      <c r="P83">
        <v>1</v>
      </c>
      <c r="Q83">
        <v>3.3</v>
      </c>
      <c r="R83">
        <v>2.6</v>
      </c>
      <c r="S83" t="s">
        <v>47</v>
      </c>
    </row>
    <row r="84" spans="1:19">
      <c r="A84" s="1" t="s">
        <v>170</v>
      </c>
      <c r="B84">
        <v>34</v>
      </c>
      <c r="C84">
        <v>98</v>
      </c>
      <c r="D84">
        <v>82</v>
      </c>
      <c r="E84">
        <v>50</v>
      </c>
      <c r="F84">
        <v>744.1</v>
      </c>
      <c r="G84">
        <v>208</v>
      </c>
      <c r="H84">
        <v>197</v>
      </c>
      <c r="I84">
        <v>5</v>
      </c>
      <c r="J84">
        <v>6</v>
      </c>
      <c r="K84">
        <v>1</v>
      </c>
      <c r="L84">
        <v>0.97099999999999997</v>
      </c>
      <c r="M84">
        <v>2</v>
      </c>
      <c r="N84">
        <v>2</v>
      </c>
      <c r="O84">
        <v>3</v>
      </c>
      <c r="P84">
        <v>-1</v>
      </c>
      <c r="Q84">
        <v>2.44</v>
      </c>
      <c r="R84">
        <v>2.06</v>
      </c>
      <c r="S84" t="s">
        <v>56</v>
      </c>
    </row>
    <row r="85" spans="1:19">
      <c r="A85" s="1" t="s">
        <v>171</v>
      </c>
      <c r="B85">
        <v>24</v>
      </c>
      <c r="C85">
        <v>44</v>
      </c>
      <c r="D85">
        <v>33</v>
      </c>
      <c r="E85">
        <v>22</v>
      </c>
      <c r="F85">
        <v>300</v>
      </c>
      <c r="G85">
        <v>63</v>
      </c>
      <c r="H85">
        <v>57</v>
      </c>
      <c r="I85">
        <v>4</v>
      </c>
      <c r="J85">
        <v>2</v>
      </c>
      <c r="K85">
        <v>0</v>
      </c>
      <c r="L85">
        <v>0.96799999999999997</v>
      </c>
      <c r="M85">
        <v>-2</v>
      </c>
      <c r="N85">
        <v>-7</v>
      </c>
      <c r="O85">
        <v>-3</v>
      </c>
      <c r="P85">
        <v>1</v>
      </c>
      <c r="Q85">
        <v>1.83</v>
      </c>
      <c r="R85">
        <v>1.39</v>
      </c>
      <c r="S85" t="s">
        <v>62</v>
      </c>
    </row>
    <row r="86" spans="1:19">
      <c r="A86" s="1" t="s">
        <v>172</v>
      </c>
      <c r="B86">
        <v>33</v>
      </c>
      <c r="C86">
        <v>7</v>
      </c>
      <c r="D86">
        <v>4</v>
      </c>
      <c r="E86">
        <v>3</v>
      </c>
      <c r="F86">
        <v>39</v>
      </c>
      <c r="G86">
        <v>9</v>
      </c>
      <c r="H86">
        <v>8</v>
      </c>
      <c r="I86">
        <v>0</v>
      </c>
      <c r="J86">
        <v>1</v>
      </c>
      <c r="K86">
        <v>0</v>
      </c>
      <c r="L86">
        <v>0.88900000000000001</v>
      </c>
      <c r="M86">
        <v>0</v>
      </c>
      <c r="N86">
        <v>3</v>
      </c>
      <c r="O86">
        <v>0</v>
      </c>
      <c r="P86">
        <v>0</v>
      </c>
      <c r="Q86">
        <v>1.85</v>
      </c>
      <c r="R86">
        <v>1.1399999999999999</v>
      </c>
      <c r="S86" t="s">
        <v>73</v>
      </c>
    </row>
    <row r="87" spans="1:19">
      <c r="A87" s="1" t="s">
        <v>173</v>
      </c>
      <c r="B87">
        <v>38</v>
      </c>
      <c r="C87">
        <v>3</v>
      </c>
      <c r="D87">
        <v>3</v>
      </c>
      <c r="E87">
        <v>2</v>
      </c>
      <c r="F87">
        <v>26.2</v>
      </c>
      <c r="G87">
        <v>7</v>
      </c>
      <c r="H87">
        <v>7</v>
      </c>
      <c r="I87">
        <v>0</v>
      </c>
      <c r="J87">
        <v>0</v>
      </c>
      <c r="K87">
        <v>0</v>
      </c>
      <c r="L87">
        <v>1</v>
      </c>
      <c r="M87">
        <v>0</v>
      </c>
      <c r="N87">
        <v>14</v>
      </c>
      <c r="O87">
        <v>0</v>
      </c>
      <c r="P87">
        <v>0</v>
      </c>
      <c r="Q87">
        <v>2.36</v>
      </c>
      <c r="R87">
        <v>2.33</v>
      </c>
      <c r="S87" t="s">
        <v>53</v>
      </c>
    </row>
    <row r="88" spans="1:19">
      <c r="A88" s="1" t="s">
        <v>174</v>
      </c>
      <c r="B88">
        <v>31</v>
      </c>
      <c r="C88">
        <v>1</v>
      </c>
      <c r="D88">
        <v>0</v>
      </c>
      <c r="E88">
        <v>0</v>
      </c>
      <c r="F88">
        <v>4</v>
      </c>
      <c r="G88">
        <v>1</v>
      </c>
      <c r="H88">
        <v>1</v>
      </c>
      <c r="I88">
        <v>0</v>
      </c>
      <c r="J88">
        <v>0</v>
      </c>
      <c r="K88">
        <v>0</v>
      </c>
      <c r="L88">
        <v>1</v>
      </c>
      <c r="M88">
        <v>0</v>
      </c>
      <c r="N88">
        <v>0</v>
      </c>
      <c r="O88">
        <v>0</v>
      </c>
      <c r="P88">
        <v>0</v>
      </c>
      <c r="Q88">
        <v>2.25</v>
      </c>
      <c r="R88">
        <v>1</v>
      </c>
      <c r="S88" t="s">
        <v>66</v>
      </c>
    </row>
    <row r="89" spans="1:19">
      <c r="A89" s="1" t="s">
        <v>159</v>
      </c>
      <c r="B89">
        <v>31</v>
      </c>
      <c r="C89">
        <v>1</v>
      </c>
      <c r="D89">
        <v>0</v>
      </c>
      <c r="E89">
        <v>0</v>
      </c>
      <c r="F89">
        <v>1</v>
      </c>
      <c r="G89">
        <v>1</v>
      </c>
      <c r="H89">
        <v>1</v>
      </c>
      <c r="I89">
        <v>0</v>
      </c>
      <c r="J89">
        <v>0</v>
      </c>
      <c r="K89">
        <v>0</v>
      </c>
      <c r="L89">
        <v>1</v>
      </c>
      <c r="M89">
        <v>0</v>
      </c>
      <c r="N89">
        <v>-240</v>
      </c>
      <c r="O89">
        <v>0</v>
      </c>
      <c r="P89">
        <v>0</v>
      </c>
      <c r="Q89">
        <v>9</v>
      </c>
      <c r="R89">
        <v>1</v>
      </c>
      <c r="S89" t="s">
        <v>68</v>
      </c>
    </row>
    <row r="90" spans="1:19">
      <c r="A90" s="1" t="s">
        <v>161</v>
      </c>
      <c r="B90">
        <v>26</v>
      </c>
      <c r="C90">
        <v>1</v>
      </c>
      <c r="D90">
        <v>0</v>
      </c>
      <c r="E90">
        <v>0</v>
      </c>
      <c r="F90">
        <v>1</v>
      </c>
      <c r="G90">
        <v>0</v>
      </c>
      <c r="H90">
        <v>0</v>
      </c>
      <c r="I90">
        <v>0</v>
      </c>
      <c r="J90">
        <v>0</v>
      </c>
      <c r="K90">
        <v>0</v>
      </c>
      <c r="M90">
        <v>0</v>
      </c>
      <c r="N90">
        <v>0</v>
      </c>
      <c r="O90">
        <v>0</v>
      </c>
      <c r="Q90">
        <v>0</v>
      </c>
      <c r="R90">
        <v>0</v>
      </c>
      <c r="S90" t="s">
        <v>70</v>
      </c>
    </row>
    <row r="91" spans="1:19">
      <c r="J91">
        <f>SUM(J81:J90)</f>
        <v>21</v>
      </c>
    </row>
    <row r="93" spans="1:19">
      <c r="C93" t="s">
        <v>178</v>
      </c>
      <c r="D93">
        <v>716</v>
      </c>
      <c r="N93" t="s">
        <v>199</v>
      </c>
      <c r="O93">
        <v>0.69699999999999995</v>
      </c>
    </row>
    <row r="94" spans="1:19">
      <c r="C94" t="s">
        <v>179</v>
      </c>
      <c r="D94">
        <f>H21</f>
        <v>696</v>
      </c>
      <c r="N94" t="s">
        <v>200</v>
      </c>
      <c r="O94">
        <v>0.69899999999999995</v>
      </c>
    </row>
    <row r="95" spans="1:19">
      <c r="C95" t="s">
        <v>180</v>
      </c>
      <c r="D95">
        <f>Q42</f>
        <v>697</v>
      </c>
      <c r="N95" t="s">
        <v>201</v>
      </c>
      <c r="O95">
        <f>100+(O93-O94)*2500</f>
        <v>95</v>
      </c>
    </row>
    <row r="96" spans="1:19">
      <c r="C96" t="s">
        <v>181</v>
      </c>
      <c r="D96">
        <f>D94-D93*0.52</f>
        <v>323.68</v>
      </c>
      <c r="N96" t="s">
        <v>202</v>
      </c>
      <c r="O96">
        <f>((V42*9/O42)+2.5)*200/7</f>
        <v>204.72916564356925</v>
      </c>
    </row>
    <row r="97" spans="3:26">
      <c r="C97" t="s">
        <v>182</v>
      </c>
      <c r="D97">
        <f>D93*1.52-D95</f>
        <v>391.31999999999994</v>
      </c>
      <c r="N97" t="s">
        <v>203</v>
      </c>
      <c r="O97">
        <f>(T42+W42)*9/O42</f>
        <v>3.1000343760742526</v>
      </c>
      <c r="R97" t="s">
        <v>205</v>
      </c>
      <c r="S97" t="s">
        <v>206</v>
      </c>
      <c r="T97" t="s">
        <v>207</v>
      </c>
      <c r="U97" t="s">
        <v>11</v>
      </c>
    </row>
    <row r="98" spans="3:26">
      <c r="C98" t="s">
        <v>183</v>
      </c>
      <c r="D98">
        <f>D97+D96</f>
        <v>715</v>
      </c>
      <c r="N98" t="s">
        <v>204</v>
      </c>
      <c r="O98" s="5">
        <f>(R98+S98)*9/T98</f>
        <v>3.3683431952662723</v>
      </c>
      <c r="R98">
        <v>7171</v>
      </c>
      <c r="S98">
        <v>419</v>
      </c>
      <c r="T98">
        <v>20280</v>
      </c>
      <c r="U98">
        <v>1980</v>
      </c>
    </row>
    <row r="99" spans="3:26">
      <c r="C99" t="s">
        <v>184</v>
      </c>
      <c r="D99">
        <f>E42</f>
        <v>81</v>
      </c>
      <c r="N99" t="s">
        <v>208</v>
      </c>
      <c r="O99">
        <f>O42*O98/9-T42-W42+200</f>
        <v>243.36168639053244</v>
      </c>
    </row>
    <row r="100" spans="3:26">
      <c r="C100" t="s">
        <v>185</v>
      </c>
      <c r="D100">
        <f>D99*3</f>
        <v>243</v>
      </c>
      <c r="N100" t="s">
        <v>94</v>
      </c>
      <c r="O100" s="5">
        <f>S42*9/O42</f>
        <v>0.88484015125472681</v>
      </c>
      <c r="R100" t="s">
        <v>212</v>
      </c>
      <c r="S100" t="s">
        <v>213</v>
      </c>
      <c r="T100" t="s">
        <v>211</v>
      </c>
      <c r="U100" t="s">
        <v>214</v>
      </c>
      <c r="V100" t="s">
        <v>215</v>
      </c>
      <c r="W100" t="s">
        <v>217</v>
      </c>
      <c r="Z100" t="s">
        <v>218</v>
      </c>
    </row>
    <row r="101" spans="3:26">
      <c r="C101" t="s">
        <v>186</v>
      </c>
      <c r="D101" s="5">
        <f>D100*D96/D98</f>
        <v>110.00593006993007</v>
      </c>
      <c r="N101" t="s">
        <v>209</v>
      </c>
      <c r="O101" s="5">
        <f>U98*9/T98</f>
        <v>0.87869822485207105</v>
      </c>
      <c r="R101">
        <v>15</v>
      </c>
      <c r="S101">
        <f>R101+J48+J57+J63+J71+J78+J91</f>
        <v>128</v>
      </c>
      <c r="T101">
        <f>R48</f>
        <v>4</v>
      </c>
      <c r="U101">
        <v>1853</v>
      </c>
      <c r="V101">
        <v>148</v>
      </c>
      <c r="W101" s="4">
        <f>(S101+T101*0.2)/O42</f>
        <v>8.8552767273977331E-2</v>
      </c>
      <c r="Z101" s="4">
        <f>(U101+V101*0.5)/T98</f>
        <v>9.5019723865877717E-2</v>
      </c>
    </row>
    <row r="102" spans="3:26">
      <c r="C102" t="s">
        <v>187</v>
      </c>
      <c r="D102">
        <f>D100*D97/D98</f>
        <v>132.99406993006991</v>
      </c>
      <c r="N102" t="s">
        <v>210</v>
      </c>
      <c r="O102">
        <f>(O101*O42/9-S42)*5+200</f>
        <v>195.03698224852059</v>
      </c>
    </row>
    <row r="103" spans="3:26">
      <c r="N103" t="s">
        <v>216</v>
      </c>
      <c r="O103">
        <f>100+(O42*Z101)-S101-T101*0.5</f>
        <v>108.20618836291911</v>
      </c>
    </row>
    <row r="104" spans="3:26">
      <c r="C104" t="s">
        <v>192</v>
      </c>
      <c r="D104">
        <v>10027</v>
      </c>
      <c r="N104" t="s">
        <v>234</v>
      </c>
      <c r="O104">
        <f>100+4*(AD56-AD64)/3</f>
        <v>110.14883582661533</v>
      </c>
    </row>
    <row r="105" spans="3:26">
      <c r="C105" t="s">
        <v>193</v>
      </c>
      <c r="D105">
        <f>77910-20539+738+1774+626+716</f>
        <v>61225</v>
      </c>
    </row>
    <row r="106" spans="3:26">
      <c r="C106" t="s">
        <v>194</v>
      </c>
      <c r="D106">
        <f>D104/D105</f>
        <v>0.16377296855859536</v>
      </c>
      <c r="N106" t="s">
        <v>235</v>
      </c>
      <c r="O106">
        <f>(O95+O96+O99+O102+650+(E42/(E42+F42))*405)/(O95*2+O96+O99+O102+O103+O104+1097.5+(E42/(E42+F42))*405)</f>
        <v>0.6764360746036272</v>
      </c>
    </row>
    <row r="107" spans="3:26">
      <c r="N107" t="s">
        <v>236</v>
      </c>
      <c r="O107">
        <f>1-O106</f>
        <v>0.3235639253963728</v>
      </c>
    </row>
    <row r="108" spans="3:26">
      <c r="C108" t="s">
        <v>239</v>
      </c>
      <c r="D108">
        <f>D93/162</f>
        <v>4.4197530864197532</v>
      </c>
    </row>
    <row r="109" spans="3:26">
      <c r="C109" t="s">
        <v>241</v>
      </c>
      <c r="D109">
        <f>D108*1.52-D95/162</f>
        <v>2.4155555555555557</v>
      </c>
      <c r="N109" t="s">
        <v>237</v>
      </c>
      <c r="O109" s="5">
        <f>D102*O106</f>
        <v>89.96198660905678</v>
      </c>
    </row>
    <row r="110" spans="3:26">
      <c r="C110" t="s">
        <v>242</v>
      </c>
      <c r="D110">
        <f>D109*O107</f>
        <v>0.78158663756857172</v>
      </c>
      <c r="N110" t="s">
        <v>238</v>
      </c>
      <c r="O110" s="5">
        <f>D102*O107</f>
        <v>43.032083321013125</v>
      </c>
    </row>
    <row r="111" spans="3:26">
      <c r="C111" t="s">
        <v>243</v>
      </c>
      <c r="D111">
        <f>D108*1.52-D110</f>
        <v>5.9364380537894528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759EF-6D37-484F-9EE3-33C0634F6394}">
  <dimension ref="A1:BD111"/>
  <sheetViews>
    <sheetView topLeftCell="AG20" workbookViewId="0">
      <selection activeCell="AU25" sqref="AU25"/>
    </sheetView>
  </sheetViews>
  <sheetFormatPr defaultRowHeight="14.4"/>
  <cols>
    <col min="1" max="1" width="2.5546875" bestFit="1" customWidth="1"/>
    <col min="2" max="2" width="3.88671875" bestFit="1" customWidth="1"/>
    <col min="3" max="3" width="14.21875" bestFit="1" customWidth="1"/>
    <col min="4" max="4" width="6" bestFit="1" customWidth="1"/>
    <col min="5" max="5" width="4" bestFit="1" customWidth="1"/>
    <col min="6" max="6" width="7" bestFit="1" customWidth="1"/>
    <col min="7" max="7" width="6" bestFit="1" customWidth="1"/>
    <col min="8" max="9" width="4" bestFit="1" customWidth="1"/>
    <col min="10" max="11" width="3.109375" bestFit="1" customWidth="1"/>
    <col min="12" max="12" width="3.33203125" bestFit="1" customWidth="1"/>
    <col min="13" max="13" width="3.77734375" bestFit="1" customWidth="1"/>
    <col min="14" max="14" width="10.88671875" customWidth="1"/>
    <col min="15" max="15" width="6" bestFit="1" customWidth="1"/>
    <col min="16" max="16" width="5" bestFit="1" customWidth="1"/>
    <col min="17" max="17" width="4" bestFit="1" customWidth="1"/>
    <col min="18" max="21" width="6" bestFit="1" customWidth="1"/>
    <col min="22" max="22" width="5.21875" bestFit="1" customWidth="1"/>
    <col min="23" max="23" width="5.5546875" bestFit="1" customWidth="1"/>
    <col min="24" max="24" width="4.44140625" bestFit="1" customWidth="1"/>
    <col min="25" max="25" width="4.33203125" bestFit="1" customWidth="1"/>
    <col min="26" max="26" width="5.5546875" bestFit="1" customWidth="1"/>
    <col min="27" max="27" width="5.21875" bestFit="1" customWidth="1"/>
    <col min="28" max="28" width="3.77734375" bestFit="1" customWidth="1"/>
    <col min="29" max="29" width="14.77734375" bestFit="1" customWidth="1"/>
    <col min="30" max="30" width="5.5546875" bestFit="1" customWidth="1"/>
    <col min="31" max="31" width="7.77734375" customWidth="1"/>
    <col min="32" max="33" width="4.21875" bestFit="1" customWidth="1"/>
    <col min="34" max="34" width="5.77734375" bestFit="1" customWidth="1"/>
    <col min="35" max="35" width="14.77734375" bestFit="1" customWidth="1"/>
    <col min="38" max="38" width="12.109375" bestFit="1" customWidth="1"/>
    <col min="40" max="40" width="7" bestFit="1" customWidth="1"/>
  </cols>
  <sheetData>
    <row r="1" spans="1:41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E1" t="s">
        <v>189</v>
      </c>
      <c r="AG1" t="s">
        <v>141</v>
      </c>
      <c r="AH1" t="s">
        <v>190</v>
      </c>
      <c r="AI1" t="s">
        <v>29</v>
      </c>
      <c r="AJ1" t="s">
        <v>191</v>
      </c>
      <c r="AK1" t="s">
        <v>188</v>
      </c>
      <c r="AL1" t="s">
        <v>195</v>
      </c>
      <c r="AM1" t="s">
        <v>196</v>
      </c>
      <c r="AN1" t="s">
        <v>197</v>
      </c>
      <c r="AO1" t="s">
        <v>198</v>
      </c>
    </row>
    <row r="2" spans="1:41">
      <c r="A2" s="1">
        <v>1</v>
      </c>
      <c r="B2" t="s">
        <v>29</v>
      </c>
      <c r="C2" t="s">
        <v>30</v>
      </c>
      <c r="D2">
        <v>36</v>
      </c>
      <c r="E2">
        <v>139</v>
      </c>
      <c r="F2">
        <v>486</v>
      </c>
      <c r="G2">
        <v>450</v>
      </c>
      <c r="H2">
        <v>33</v>
      </c>
      <c r="I2">
        <v>91</v>
      </c>
      <c r="J2">
        <v>16</v>
      </c>
      <c r="K2">
        <v>1</v>
      </c>
      <c r="L2">
        <v>3</v>
      </c>
      <c r="M2">
        <v>32</v>
      </c>
      <c r="N2">
        <v>3</v>
      </c>
      <c r="O2">
        <v>3</v>
      </c>
      <c r="P2">
        <v>25</v>
      </c>
      <c r="Q2">
        <v>45</v>
      </c>
      <c r="R2">
        <v>0.20200000000000001</v>
      </c>
      <c r="S2">
        <v>0.24199999999999999</v>
      </c>
      <c r="T2">
        <v>0.26200000000000001</v>
      </c>
      <c r="U2">
        <v>0.504</v>
      </c>
      <c r="V2">
        <v>41</v>
      </c>
      <c r="W2">
        <v>118</v>
      </c>
      <c r="X2">
        <v>11</v>
      </c>
      <c r="Y2">
        <v>0</v>
      </c>
      <c r="Z2">
        <v>6</v>
      </c>
      <c r="AA2">
        <v>5</v>
      </c>
      <c r="AB2">
        <v>1</v>
      </c>
      <c r="AC2" t="s">
        <v>31</v>
      </c>
      <c r="AE2">
        <f>G2-I2+O2+X2+Z2+AA2</f>
        <v>384</v>
      </c>
      <c r="AG2">
        <f>I2+P2+Y2-X2-O2</f>
        <v>102</v>
      </c>
      <c r="AH2" s="3">
        <f>(P2-AB2+Y2)*0.24+N2*0.62+(AA2+Z2)*0.5-Q2*0.03+W2</f>
        <v>129.77000000000001</v>
      </c>
      <c r="AI2">
        <f>F2</f>
        <v>486</v>
      </c>
      <c r="AJ2" s="3">
        <f>(AI2*2.4+AG2)*(AI2*3+AH2)/(AI2*9)-AI2*0.9</f>
        <v>23.03151989026054</v>
      </c>
      <c r="AK2" s="3">
        <f>AJ2*(H$21/AJ$21)</f>
        <v>24.47000916764199</v>
      </c>
      <c r="AL2" s="3">
        <f>AE2*D$106*0.52</f>
        <v>32.702186361780321</v>
      </c>
      <c r="AM2" s="3">
        <f>MAX(0,AK2-AL2)</f>
        <v>0</v>
      </c>
      <c r="AN2" s="5">
        <f>AM2*D$101/AM$21</f>
        <v>0</v>
      </c>
      <c r="AO2">
        <v>0</v>
      </c>
    </row>
    <row r="3" spans="1:41">
      <c r="A3" s="1">
        <v>2</v>
      </c>
      <c r="B3" t="s">
        <v>32</v>
      </c>
      <c r="C3" t="s">
        <v>33</v>
      </c>
      <c r="D3">
        <v>38</v>
      </c>
      <c r="E3">
        <v>93</v>
      </c>
      <c r="F3">
        <v>378</v>
      </c>
      <c r="G3">
        <v>329</v>
      </c>
      <c r="H3">
        <v>42</v>
      </c>
      <c r="I3">
        <v>97</v>
      </c>
      <c r="J3">
        <v>8</v>
      </c>
      <c r="K3">
        <v>1</v>
      </c>
      <c r="L3">
        <v>3</v>
      </c>
      <c r="M3">
        <v>31</v>
      </c>
      <c r="N3">
        <v>4</v>
      </c>
      <c r="O3">
        <v>3</v>
      </c>
      <c r="P3">
        <v>40</v>
      </c>
      <c r="Q3">
        <v>39</v>
      </c>
      <c r="R3">
        <v>0.29499999999999998</v>
      </c>
      <c r="S3">
        <v>0.36699999999999999</v>
      </c>
      <c r="T3">
        <v>0.35299999999999998</v>
      </c>
      <c r="U3">
        <v>0.72</v>
      </c>
      <c r="V3">
        <v>102</v>
      </c>
      <c r="W3">
        <v>116</v>
      </c>
      <c r="X3">
        <v>8</v>
      </c>
      <c r="Y3">
        <v>0</v>
      </c>
      <c r="Z3">
        <v>5</v>
      </c>
      <c r="AA3">
        <v>4</v>
      </c>
      <c r="AB3">
        <v>1</v>
      </c>
      <c r="AC3" t="s">
        <v>34</v>
      </c>
      <c r="AE3">
        <f t="shared" ref="AE3:AE20" si="0">G3-I3+O3+X3+Z3+AA3</f>
        <v>252</v>
      </c>
      <c r="AG3">
        <f t="shared" ref="AG3:AG20" si="1">I3+P3+Y3-X3-O3</f>
        <v>126</v>
      </c>
      <c r="AH3" s="3">
        <f t="shared" ref="AH3:AH20" si="2">(P3-AB3+Y3)*0.24+N3*0.62+(AA3+Z3)*0.5-Q3*0.03+W3</f>
        <v>131.16999999999999</v>
      </c>
      <c r="AI3">
        <f t="shared" ref="AI3:AI20" si="3">F3</f>
        <v>378</v>
      </c>
      <c r="AJ3" s="3">
        <f t="shared" ref="AJ3:AJ20" si="4">(AI3*2.4+AG3)*(AI3*3+AH3)/(AI3*9)-AI3*0.9</f>
        <v>44.036814814814761</v>
      </c>
      <c r="AK3" s="3">
        <f t="shared" ref="AK3:AK20" si="5">AJ3*(H$21/AJ$21)</f>
        <v>46.787240588839829</v>
      </c>
      <c r="AL3" s="3">
        <f t="shared" ref="AL3:AL20" si="6">AE3*D$106*0.52</f>
        <v>21.460809799918337</v>
      </c>
      <c r="AM3" s="3">
        <f t="shared" ref="AM3:AM20" si="7">MAX(0,AK3-AL3)</f>
        <v>25.326430788921492</v>
      </c>
      <c r="AN3" s="5">
        <f t="shared" ref="AN3:AN20" si="8">AM3*D$101/AM$21</f>
        <v>8.0932897749175954</v>
      </c>
      <c r="AO3">
        <v>8.1999999999999993</v>
      </c>
    </row>
    <row r="4" spans="1:41">
      <c r="A4" s="1">
        <v>3</v>
      </c>
      <c r="B4" t="s">
        <v>9</v>
      </c>
      <c r="C4" t="s">
        <v>35</v>
      </c>
      <c r="D4">
        <v>35</v>
      </c>
      <c r="E4">
        <v>116</v>
      </c>
      <c r="F4">
        <v>432</v>
      </c>
      <c r="G4">
        <v>363</v>
      </c>
      <c r="H4">
        <v>60</v>
      </c>
      <c r="I4">
        <v>93</v>
      </c>
      <c r="J4">
        <v>15</v>
      </c>
      <c r="K4">
        <v>1</v>
      </c>
      <c r="L4">
        <v>18</v>
      </c>
      <c r="M4">
        <v>58</v>
      </c>
      <c r="N4">
        <v>2</v>
      </c>
      <c r="O4">
        <v>5</v>
      </c>
      <c r="P4">
        <v>57</v>
      </c>
      <c r="Q4">
        <v>70</v>
      </c>
      <c r="R4">
        <v>0.25600000000000001</v>
      </c>
      <c r="S4">
        <v>0.35699999999999998</v>
      </c>
      <c r="T4">
        <v>0.45200000000000001</v>
      </c>
      <c r="U4">
        <v>0.80900000000000005</v>
      </c>
      <c r="V4">
        <v>124</v>
      </c>
      <c r="W4">
        <v>164</v>
      </c>
      <c r="X4">
        <v>11</v>
      </c>
      <c r="Y4">
        <v>2</v>
      </c>
      <c r="Z4">
        <v>6</v>
      </c>
      <c r="AA4">
        <v>4</v>
      </c>
      <c r="AB4">
        <v>3</v>
      </c>
      <c r="AC4" t="s">
        <v>36</v>
      </c>
      <c r="AE4">
        <f t="shared" si="0"/>
        <v>296</v>
      </c>
      <c r="AG4">
        <f t="shared" si="1"/>
        <v>136</v>
      </c>
      <c r="AH4" s="3">
        <f t="shared" si="2"/>
        <v>181.57999999999998</v>
      </c>
      <c r="AI4">
        <f t="shared" si="3"/>
        <v>432</v>
      </c>
      <c r="AJ4" s="3">
        <f t="shared" si="4"/>
        <v>56.906230452674833</v>
      </c>
      <c r="AK4" s="3">
        <f t="shared" si="5"/>
        <v>60.460446705549515</v>
      </c>
      <c r="AL4" s="3">
        <f t="shared" si="6"/>
        <v>25.207935320538997</v>
      </c>
      <c r="AM4" s="3">
        <f t="shared" si="7"/>
        <v>35.252511385010521</v>
      </c>
      <c r="AN4" s="5">
        <f t="shared" si="8"/>
        <v>11.265258508406719</v>
      </c>
      <c r="AO4">
        <v>11.5</v>
      </c>
    </row>
    <row r="5" spans="1:41">
      <c r="A5" s="1">
        <v>4</v>
      </c>
      <c r="B5" t="s">
        <v>37</v>
      </c>
      <c r="C5" t="s">
        <v>38</v>
      </c>
      <c r="D5">
        <v>21</v>
      </c>
      <c r="E5">
        <v>140</v>
      </c>
      <c r="F5">
        <v>452</v>
      </c>
      <c r="G5">
        <v>400</v>
      </c>
      <c r="H5">
        <v>39</v>
      </c>
      <c r="I5">
        <v>77</v>
      </c>
      <c r="J5">
        <v>10</v>
      </c>
      <c r="K5">
        <v>3</v>
      </c>
      <c r="L5">
        <v>4</v>
      </c>
      <c r="M5">
        <v>21</v>
      </c>
      <c r="N5">
        <v>5</v>
      </c>
      <c r="O5">
        <v>2</v>
      </c>
      <c r="P5">
        <v>33</v>
      </c>
      <c r="Q5">
        <v>79</v>
      </c>
      <c r="R5">
        <v>0.193</v>
      </c>
      <c r="S5">
        <v>0.26400000000000001</v>
      </c>
      <c r="T5">
        <v>0.26300000000000001</v>
      </c>
      <c r="U5">
        <v>0.52700000000000002</v>
      </c>
      <c r="V5">
        <v>48</v>
      </c>
      <c r="W5">
        <v>105</v>
      </c>
      <c r="X5">
        <v>7</v>
      </c>
      <c r="Y5">
        <v>6</v>
      </c>
      <c r="Z5">
        <v>13</v>
      </c>
      <c r="AA5">
        <v>0</v>
      </c>
      <c r="AB5">
        <v>0</v>
      </c>
      <c r="AC5" t="s">
        <v>39</v>
      </c>
      <c r="AE5">
        <f t="shared" si="0"/>
        <v>345</v>
      </c>
      <c r="AG5">
        <f t="shared" si="1"/>
        <v>107</v>
      </c>
      <c r="AH5" s="3">
        <f t="shared" si="2"/>
        <v>121.59</v>
      </c>
      <c r="AI5">
        <f t="shared" si="3"/>
        <v>452</v>
      </c>
      <c r="AJ5" s="3">
        <f t="shared" si="4"/>
        <v>26.088830383480797</v>
      </c>
      <c r="AK5" s="3">
        <f t="shared" si="5"/>
        <v>27.718271381941797</v>
      </c>
      <c r="AL5" s="3">
        <f t="shared" si="6"/>
        <v>29.380870559412006</v>
      </c>
      <c r="AM5" s="3">
        <f t="shared" si="7"/>
        <v>0</v>
      </c>
      <c r="AN5" s="5">
        <f t="shared" si="8"/>
        <v>0</v>
      </c>
      <c r="AO5">
        <v>0</v>
      </c>
    </row>
    <row r="6" spans="1:41">
      <c r="A6" s="1">
        <v>5</v>
      </c>
      <c r="B6" t="s">
        <v>10</v>
      </c>
      <c r="C6" t="s">
        <v>40</v>
      </c>
      <c r="D6">
        <v>33</v>
      </c>
      <c r="E6">
        <v>146</v>
      </c>
      <c r="F6">
        <v>612</v>
      </c>
      <c r="G6">
        <v>547</v>
      </c>
      <c r="H6">
        <v>77</v>
      </c>
      <c r="I6">
        <v>147</v>
      </c>
      <c r="J6">
        <v>23</v>
      </c>
      <c r="K6">
        <v>3</v>
      </c>
      <c r="L6">
        <v>20</v>
      </c>
      <c r="M6">
        <v>82</v>
      </c>
      <c r="N6">
        <v>4</v>
      </c>
      <c r="O6">
        <v>1</v>
      </c>
      <c r="P6">
        <v>53</v>
      </c>
      <c r="Q6">
        <v>79</v>
      </c>
      <c r="R6">
        <v>0.26900000000000002</v>
      </c>
      <c r="S6">
        <v>0.32700000000000001</v>
      </c>
      <c r="T6">
        <v>0.43099999999999999</v>
      </c>
      <c r="U6">
        <v>0.75800000000000001</v>
      </c>
      <c r="V6">
        <v>110</v>
      </c>
      <c r="W6">
        <v>236</v>
      </c>
      <c r="X6">
        <v>16</v>
      </c>
      <c r="Y6">
        <v>0</v>
      </c>
      <c r="Z6">
        <v>0</v>
      </c>
      <c r="AA6">
        <v>12</v>
      </c>
      <c r="AB6">
        <v>4</v>
      </c>
      <c r="AC6" t="s">
        <v>41</v>
      </c>
      <c r="AE6">
        <f t="shared" si="0"/>
        <v>429</v>
      </c>
      <c r="AG6">
        <f t="shared" si="1"/>
        <v>183</v>
      </c>
      <c r="AH6" s="3">
        <f t="shared" si="2"/>
        <v>253.87</v>
      </c>
      <c r="AI6">
        <f t="shared" si="3"/>
        <v>612</v>
      </c>
      <c r="AJ6" s="3">
        <f t="shared" si="4"/>
        <v>75.933345315904035</v>
      </c>
      <c r="AK6" s="3">
        <f t="shared" si="5"/>
        <v>80.675946045386127</v>
      </c>
      <c r="AL6" s="3">
        <f t="shared" si="6"/>
        <v>36.534473826051453</v>
      </c>
      <c r="AM6" s="3">
        <f t="shared" si="7"/>
        <v>44.141472219334673</v>
      </c>
      <c r="AN6" s="5">
        <f t="shared" si="8"/>
        <v>14.105806251973794</v>
      </c>
      <c r="AO6">
        <v>13.9</v>
      </c>
    </row>
    <row r="7" spans="1:41">
      <c r="A7" s="1">
        <v>6</v>
      </c>
      <c r="B7" t="s">
        <v>42</v>
      </c>
      <c r="C7" t="s">
        <v>43</v>
      </c>
      <c r="D7">
        <v>33</v>
      </c>
      <c r="E7">
        <v>156</v>
      </c>
      <c r="F7">
        <v>628</v>
      </c>
      <c r="G7">
        <v>539</v>
      </c>
      <c r="H7">
        <v>65</v>
      </c>
      <c r="I7">
        <v>148</v>
      </c>
      <c r="J7">
        <v>28</v>
      </c>
      <c r="K7">
        <v>2</v>
      </c>
      <c r="L7">
        <v>23</v>
      </c>
      <c r="M7">
        <v>91</v>
      </c>
      <c r="N7">
        <v>0</v>
      </c>
      <c r="O7">
        <v>4</v>
      </c>
      <c r="P7">
        <v>70</v>
      </c>
      <c r="Q7">
        <v>66</v>
      </c>
      <c r="R7">
        <v>0.27500000000000002</v>
      </c>
      <c r="S7">
        <v>0.36</v>
      </c>
      <c r="T7">
        <v>0.46200000000000002</v>
      </c>
      <c r="U7">
        <v>0.82199999999999995</v>
      </c>
      <c r="V7">
        <v>127</v>
      </c>
      <c r="W7">
        <v>249</v>
      </c>
      <c r="X7">
        <v>18</v>
      </c>
      <c r="Y7">
        <v>7</v>
      </c>
      <c r="Z7">
        <v>3</v>
      </c>
      <c r="AA7">
        <v>9</v>
      </c>
      <c r="AB7">
        <v>3</v>
      </c>
      <c r="AC7" t="s">
        <v>44</v>
      </c>
      <c r="AE7">
        <f t="shared" si="0"/>
        <v>425</v>
      </c>
      <c r="AG7">
        <f t="shared" si="1"/>
        <v>203</v>
      </c>
      <c r="AH7" s="3">
        <f t="shared" si="2"/>
        <v>270.77999999999997</v>
      </c>
      <c r="AI7">
        <f t="shared" si="3"/>
        <v>628</v>
      </c>
      <c r="AJ7" s="3">
        <f t="shared" si="4"/>
        <v>86.800133757961703</v>
      </c>
      <c r="AK7" s="3">
        <f t="shared" si="5"/>
        <v>92.22144604134705</v>
      </c>
      <c r="AL7" s="3">
        <f t="shared" si="6"/>
        <v>36.193826051449577</v>
      </c>
      <c r="AM7" s="3">
        <f t="shared" si="7"/>
        <v>56.027619989897474</v>
      </c>
      <c r="AN7" s="5">
        <f t="shared" si="8"/>
        <v>17.904132159654999</v>
      </c>
      <c r="AO7">
        <v>17.899999999999999</v>
      </c>
    </row>
    <row r="8" spans="1:41">
      <c r="A8" s="1">
        <v>7</v>
      </c>
      <c r="B8" t="s">
        <v>45</v>
      </c>
      <c r="C8" t="s">
        <v>46</v>
      </c>
      <c r="D8">
        <v>26</v>
      </c>
      <c r="E8">
        <v>140</v>
      </c>
      <c r="F8">
        <v>466</v>
      </c>
      <c r="G8">
        <v>397</v>
      </c>
      <c r="H8">
        <v>63</v>
      </c>
      <c r="I8">
        <v>90</v>
      </c>
      <c r="J8">
        <v>11</v>
      </c>
      <c r="K8">
        <v>6</v>
      </c>
      <c r="L8">
        <v>2</v>
      </c>
      <c r="M8">
        <v>29</v>
      </c>
      <c r="N8">
        <v>48</v>
      </c>
      <c r="O8">
        <v>17</v>
      </c>
      <c r="P8">
        <v>60</v>
      </c>
      <c r="Q8">
        <v>115</v>
      </c>
      <c r="R8">
        <v>0.22700000000000001</v>
      </c>
      <c r="S8">
        <v>0.33200000000000002</v>
      </c>
      <c r="T8">
        <v>0.3</v>
      </c>
      <c r="U8">
        <v>0.63200000000000001</v>
      </c>
      <c r="V8">
        <v>78</v>
      </c>
      <c r="W8">
        <v>119</v>
      </c>
      <c r="X8">
        <v>4</v>
      </c>
      <c r="Y8">
        <v>3</v>
      </c>
      <c r="Z8">
        <v>5</v>
      </c>
      <c r="AA8">
        <v>1</v>
      </c>
      <c r="AB8">
        <v>1</v>
      </c>
      <c r="AC8" t="s">
        <v>47</v>
      </c>
      <c r="AE8">
        <f t="shared" si="0"/>
        <v>334</v>
      </c>
      <c r="AG8">
        <f t="shared" si="1"/>
        <v>132</v>
      </c>
      <c r="AH8" s="3">
        <f t="shared" si="2"/>
        <v>163.19</v>
      </c>
      <c r="AI8">
        <f t="shared" si="3"/>
        <v>466</v>
      </c>
      <c r="AJ8" s="3">
        <f t="shared" si="4"/>
        <v>46.05349928469235</v>
      </c>
      <c r="AK8" s="3">
        <f t="shared" si="5"/>
        <v>48.929881964714205</v>
      </c>
      <c r="AL8" s="3">
        <f t="shared" si="6"/>
        <v>28.444089179256842</v>
      </c>
      <c r="AM8" s="3">
        <f t="shared" si="7"/>
        <v>20.485792785457363</v>
      </c>
      <c r="AN8" s="5">
        <f t="shared" si="8"/>
        <v>6.5464201672723368</v>
      </c>
      <c r="AO8">
        <v>6.9</v>
      </c>
    </row>
    <row r="9" spans="1:41">
      <c r="A9" s="1">
        <v>8</v>
      </c>
      <c r="B9" t="s">
        <v>48</v>
      </c>
      <c r="C9" t="s">
        <v>49</v>
      </c>
      <c r="D9">
        <v>32</v>
      </c>
      <c r="E9">
        <v>142</v>
      </c>
      <c r="F9">
        <v>600</v>
      </c>
      <c r="G9">
        <v>517</v>
      </c>
      <c r="H9">
        <v>84</v>
      </c>
      <c r="I9">
        <v>140</v>
      </c>
      <c r="J9">
        <v>28</v>
      </c>
      <c r="K9">
        <v>4</v>
      </c>
      <c r="L9">
        <v>23</v>
      </c>
      <c r="M9">
        <v>79</v>
      </c>
      <c r="N9">
        <v>2</v>
      </c>
      <c r="O9">
        <v>2</v>
      </c>
      <c r="P9">
        <v>77</v>
      </c>
      <c r="Q9">
        <v>97</v>
      </c>
      <c r="R9">
        <v>0.27100000000000002</v>
      </c>
      <c r="S9">
        <v>0.36599999999999999</v>
      </c>
      <c r="T9">
        <v>0.47399999999999998</v>
      </c>
      <c r="U9">
        <v>0.84</v>
      </c>
      <c r="V9">
        <v>132</v>
      </c>
      <c r="W9">
        <v>245</v>
      </c>
      <c r="X9">
        <v>14</v>
      </c>
      <c r="Y9">
        <v>2</v>
      </c>
      <c r="Z9">
        <v>2</v>
      </c>
      <c r="AA9">
        <v>2</v>
      </c>
      <c r="AB9">
        <v>8</v>
      </c>
      <c r="AC9" t="s">
        <v>50</v>
      </c>
      <c r="AE9">
        <f t="shared" si="0"/>
        <v>397</v>
      </c>
      <c r="AG9">
        <f t="shared" si="1"/>
        <v>203</v>
      </c>
      <c r="AH9" s="3">
        <f t="shared" si="2"/>
        <v>262.37</v>
      </c>
      <c r="AI9">
        <f t="shared" si="3"/>
        <v>600</v>
      </c>
      <c r="AJ9" s="3">
        <f t="shared" si="4"/>
        <v>87.495168518518426</v>
      </c>
      <c r="AK9" s="3">
        <f t="shared" si="5"/>
        <v>92.959890878843211</v>
      </c>
      <c r="AL9" s="3">
        <f t="shared" si="6"/>
        <v>33.809291629236427</v>
      </c>
      <c r="AM9" s="3">
        <f t="shared" si="7"/>
        <v>59.150599249606785</v>
      </c>
      <c r="AN9" s="5">
        <f t="shared" si="8"/>
        <v>18.902108397228165</v>
      </c>
      <c r="AO9">
        <v>19</v>
      </c>
    </row>
    <row r="10" spans="1:41">
      <c r="A10" s="1">
        <v>9</v>
      </c>
      <c r="B10" t="s">
        <v>51</v>
      </c>
      <c r="C10" t="s">
        <v>52</v>
      </c>
      <c r="D10">
        <v>38</v>
      </c>
      <c r="E10">
        <v>143</v>
      </c>
      <c r="F10">
        <v>584</v>
      </c>
      <c r="G10">
        <v>525</v>
      </c>
      <c r="H10">
        <v>67</v>
      </c>
      <c r="I10">
        <v>117</v>
      </c>
      <c r="J10">
        <v>17</v>
      </c>
      <c r="K10">
        <v>2</v>
      </c>
      <c r="L10">
        <v>25</v>
      </c>
      <c r="M10">
        <v>81</v>
      </c>
      <c r="N10">
        <v>8</v>
      </c>
      <c r="O10">
        <v>4</v>
      </c>
      <c r="P10">
        <v>55</v>
      </c>
      <c r="Q10">
        <v>141</v>
      </c>
      <c r="R10">
        <v>0.223</v>
      </c>
      <c r="S10">
        <v>0.3</v>
      </c>
      <c r="T10">
        <v>0.40600000000000003</v>
      </c>
      <c r="U10">
        <v>0.70599999999999996</v>
      </c>
      <c r="V10">
        <v>95</v>
      </c>
      <c r="W10">
        <v>213</v>
      </c>
      <c r="X10">
        <v>10</v>
      </c>
      <c r="Y10">
        <v>3</v>
      </c>
      <c r="Z10">
        <v>1</v>
      </c>
      <c r="AA10">
        <v>0</v>
      </c>
      <c r="AB10">
        <v>7</v>
      </c>
      <c r="AC10" t="s">
        <v>53</v>
      </c>
      <c r="AE10">
        <f t="shared" si="0"/>
        <v>423</v>
      </c>
      <c r="AG10">
        <f t="shared" si="1"/>
        <v>161</v>
      </c>
      <c r="AH10" s="3">
        <f t="shared" si="2"/>
        <v>226.47</v>
      </c>
      <c r="AI10">
        <f t="shared" si="3"/>
        <v>584</v>
      </c>
      <c r="AJ10" s="3">
        <f t="shared" si="4"/>
        <v>62.595818493150659</v>
      </c>
      <c r="AK10" s="3">
        <f t="shared" si="5"/>
        <v>66.505391727585348</v>
      </c>
      <c r="AL10" s="3">
        <f t="shared" si="6"/>
        <v>36.023502164148638</v>
      </c>
      <c r="AM10" s="3">
        <f t="shared" si="7"/>
        <v>30.48188956343671</v>
      </c>
      <c r="AN10" s="5">
        <f t="shared" si="8"/>
        <v>9.7407632042586432</v>
      </c>
      <c r="AO10">
        <v>9.6</v>
      </c>
    </row>
    <row r="11" spans="1:41">
      <c r="A11" s="1">
        <v>10</v>
      </c>
      <c r="B11" t="s">
        <v>54</v>
      </c>
      <c r="C11" t="s">
        <v>55</v>
      </c>
      <c r="D11">
        <v>34</v>
      </c>
      <c r="E11">
        <v>110</v>
      </c>
      <c r="F11">
        <v>382</v>
      </c>
      <c r="G11">
        <v>354</v>
      </c>
      <c r="H11">
        <v>60</v>
      </c>
      <c r="I11">
        <v>119</v>
      </c>
      <c r="J11">
        <v>17</v>
      </c>
      <c r="K11">
        <v>0</v>
      </c>
      <c r="L11">
        <v>8</v>
      </c>
      <c r="M11">
        <v>39</v>
      </c>
      <c r="N11">
        <v>0</v>
      </c>
      <c r="O11">
        <v>3</v>
      </c>
      <c r="P11">
        <v>18</v>
      </c>
      <c r="Q11">
        <v>43</v>
      </c>
      <c r="R11">
        <v>0.33600000000000002</v>
      </c>
      <c r="S11">
        <v>0.37</v>
      </c>
      <c r="T11">
        <v>0.45200000000000001</v>
      </c>
      <c r="U11">
        <v>0.82199999999999995</v>
      </c>
      <c r="V11">
        <v>128</v>
      </c>
      <c r="W11">
        <v>160</v>
      </c>
      <c r="X11">
        <v>12</v>
      </c>
      <c r="Y11">
        <v>3</v>
      </c>
      <c r="Z11">
        <v>4</v>
      </c>
      <c r="AA11">
        <v>3</v>
      </c>
      <c r="AB11">
        <v>0</v>
      </c>
      <c r="AC11" t="s">
        <v>56</v>
      </c>
      <c r="AE11">
        <f t="shared" si="0"/>
        <v>257</v>
      </c>
      <c r="AG11">
        <f t="shared" si="1"/>
        <v>125</v>
      </c>
      <c r="AH11" s="3">
        <f t="shared" si="2"/>
        <v>167.25</v>
      </c>
      <c r="AI11">
        <f t="shared" si="3"/>
        <v>382</v>
      </c>
      <c r="AJ11" s="3">
        <f t="shared" si="4"/>
        <v>54.14760034904009</v>
      </c>
      <c r="AK11" s="3">
        <f t="shared" si="5"/>
        <v>57.529519686937036</v>
      </c>
      <c r="AL11" s="3">
        <f t="shared" si="6"/>
        <v>21.886619518170686</v>
      </c>
      <c r="AM11" s="3">
        <f t="shared" si="7"/>
        <v>35.642900168766346</v>
      </c>
      <c r="AN11" s="5">
        <f t="shared" si="8"/>
        <v>11.390010771295479</v>
      </c>
      <c r="AO11">
        <v>11.3</v>
      </c>
    </row>
    <row r="12" spans="1:41">
      <c r="A12" s="1">
        <v>11</v>
      </c>
      <c r="B12" t="s">
        <v>9</v>
      </c>
      <c r="C12" t="s">
        <v>57</v>
      </c>
      <c r="D12">
        <v>30</v>
      </c>
      <c r="E12">
        <v>108</v>
      </c>
      <c r="F12">
        <v>337</v>
      </c>
      <c r="G12">
        <v>307</v>
      </c>
      <c r="H12">
        <v>31</v>
      </c>
      <c r="I12">
        <v>76</v>
      </c>
      <c r="J12">
        <v>13</v>
      </c>
      <c r="K12">
        <v>2</v>
      </c>
      <c r="L12">
        <v>6</v>
      </c>
      <c r="M12">
        <v>33</v>
      </c>
      <c r="N12">
        <v>3</v>
      </c>
      <c r="O12">
        <v>2</v>
      </c>
      <c r="P12">
        <v>20</v>
      </c>
      <c r="Q12">
        <v>53</v>
      </c>
      <c r="R12">
        <v>0.248</v>
      </c>
      <c r="S12">
        <v>0.29599999999999999</v>
      </c>
      <c r="T12">
        <v>0.36199999999999999</v>
      </c>
      <c r="U12">
        <v>0.65800000000000003</v>
      </c>
      <c r="V12">
        <v>82</v>
      </c>
      <c r="W12">
        <v>111</v>
      </c>
      <c r="X12">
        <v>2</v>
      </c>
      <c r="Y12">
        <v>2</v>
      </c>
      <c r="Z12">
        <v>6</v>
      </c>
      <c r="AA12">
        <v>2</v>
      </c>
      <c r="AB12">
        <v>0</v>
      </c>
      <c r="AC12" t="s">
        <v>58</v>
      </c>
      <c r="AE12">
        <f t="shared" si="0"/>
        <v>243</v>
      </c>
      <c r="AG12">
        <f t="shared" si="1"/>
        <v>94</v>
      </c>
      <c r="AH12" s="3">
        <f t="shared" si="2"/>
        <v>120.55</v>
      </c>
      <c r="AI12">
        <f t="shared" si="3"/>
        <v>337</v>
      </c>
      <c r="AJ12" s="3">
        <f t="shared" si="4"/>
        <v>33.516135839103129</v>
      </c>
      <c r="AK12" s="3">
        <f t="shared" si="5"/>
        <v>35.60946716302491</v>
      </c>
      <c r="AL12" s="3">
        <f t="shared" si="6"/>
        <v>20.694352307064108</v>
      </c>
      <c r="AM12" s="3">
        <f t="shared" si="7"/>
        <v>14.915114855960802</v>
      </c>
      <c r="AN12" s="5">
        <f t="shared" si="8"/>
        <v>4.7662597055828382</v>
      </c>
      <c r="AO12">
        <v>4.9000000000000004</v>
      </c>
    </row>
    <row r="13" spans="1:41">
      <c r="A13" s="1">
        <v>12</v>
      </c>
      <c r="B13" t="s">
        <v>32</v>
      </c>
      <c r="C13" t="s">
        <v>59</v>
      </c>
      <c r="D13">
        <v>25</v>
      </c>
      <c r="E13">
        <v>57</v>
      </c>
      <c r="F13">
        <v>173</v>
      </c>
      <c r="G13">
        <v>160</v>
      </c>
      <c r="H13">
        <v>14</v>
      </c>
      <c r="I13">
        <v>39</v>
      </c>
      <c r="J13">
        <v>4</v>
      </c>
      <c r="K13">
        <v>0</v>
      </c>
      <c r="L13">
        <v>4</v>
      </c>
      <c r="M13">
        <v>17</v>
      </c>
      <c r="N13">
        <v>1</v>
      </c>
      <c r="O13">
        <v>2</v>
      </c>
      <c r="P13">
        <v>13</v>
      </c>
      <c r="Q13">
        <v>17</v>
      </c>
      <c r="R13">
        <v>0.24399999999999999</v>
      </c>
      <c r="S13">
        <v>0.30099999999999999</v>
      </c>
      <c r="T13">
        <v>0.34399999999999997</v>
      </c>
      <c r="U13">
        <v>0.64400000000000002</v>
      </c>
      <c r="V13">
        <v>79</v>
      </c>
      <c r="W13">
        <v>55</v>
      </c>
      <c r="X13">
        <v>6</v>
      </c>
      <c r="Y13">
        <v>0</v>
      </c>
      <c r="Z13">
        <v>0</v>
      </c>
      <c r="AA13">
        <v>0</v>
      </c>
      <c r="AB13">
        <v>2</v>
      </c>
      <c r="AC13" t="s">
        <v>60</v>
      </c>
      <c r="AE13">
        <f t="shared" si="0"/>
        <v>129</v>
      </c>
      <c r="AG13">
        <f t="shared" si="1"/>
        <v>44</v>
      </c>
      <c r="AH13" s="3">
        <f t="shared" si="2"/>
        <v>57.75</v>
      </c>
      <c r="AI13">
        <f t="shared" si="3"/>
        <v>173</v>
      </c>
      <c r="AJ13" s="3">
        <f t="shared" si="4"/>
        <v>14.398651252408456</v>
      </c>
      <c r="AK13" s="3">
        <f t="shared" si="5"/>
        <v>15.297953840081069</v>
      </c>
      <c r="AL13" s="3">
        <f t="shared" si="6"/>
        <v>10.985890730910578</v>
      </c>
      <c r="AM13" s="3">
        <f t="shared" si="7"/>
        <v>4.3120631091704915</v>
      </c>
      <c r="AN13" s="5">
        <f t="shared" si="8"/>
        <v>1.3779587246661948</v>
      </c>
    </row>
    <row r="14" spans="1:41">
      <c r="A14" s="1">
        <v>13</v>
      </c>
      <c r="B14" t="s">
        <v>48</v>
      </c>
      <c r="C14" t="s">
        <v>61</v>
      </c>
      <c r="D14">
        <v>24</v>
      </c>
      <c r="E14">
        <v>62</v>
      </c>
      <c r="F14">
        <v>163</v>
      </c>
      <c r="G14">
        <v>148</v>
      </c>
      <c r="H14">
        <v>19</v>
      </c>
      <c r="I14">
        <v>42</v>
      </c>
      <c r="J14">
        <v>8</v>
      </c>
      <c r="K14">
        <v>3</v>
      </c>
      <c r="L14">
        <v>7</v>
      </c>
      <c r="M14">
        <v>22</v>
      </c>
      <c r="N14">
        <v>0</v>
      </c>
      <c r="O14">
        <v>2</v>
      </c>
      <c r="P14">
        <v>13</v>
      </c>
      <c r="Q14">
        <v>23</v>
      </c>
      <c r="R14">
        <v>0.28399999999999997</v>
      </c>
      <c r="S14">
        <v>0.34200000000000003</v>
      </c>
      <c r="T14">
        <v>0.52</v>
      </c>
      <c r="U14">
        <v>0.86199999999999999</v>
      </c>
      <c r="V14">
        <v>136</v>
      </c>
      <c r="W14">
        <v>77</v>
      </c>
      <c r="X14">
        <v>8</v>
      </c>
      <c r="Y14">
        <v>0</v>
      </c>
      <c r="Z14">
        <v>2</v>
      </c>
      <c r="AA14">
        <v>0</v>
      </c>
      <c r="AB14">
        <v>1</v>
      </c>
      <c r="AC14" t="s">
        <v>62</v>
      </c>
      <c r="AE14">
        <f t="shared" si="0"/>
        <v>118</v>
      </c>
      <c r="AG14">
        <f t="shared" si="1"/>
        <v>45</v>
      </c>
      <c r="AH14" s="3">
        <f t="shared" si="2"/>
        <v>80.19</v>
      </c>
      <c r="AI14">
        <f t="shared" si="3"/>
        <v>163</v>
      </c>
      <c r="AJ14" s="3">
        <f t="shared" si="4"/>
        <v>22.543815950920248</v>
      </c>
      <c r="AK14" s="3">
        <f t="shared" si="5"/>
        <v>23.951844499239073</v>
      </c>
      <c r="AL14" s="3">
        <f t="shared" si="6"/>
        <v>10.049109350755412</v>
      </c>
      <c r="AM14" s="3">
        <f t="shared" si="7"/>
        <v>13.902735148483661</v>
      </c>
      <c r="AN14" s="5">
        <f t="shared" si="8"/>
        <v>4.4427446235270249</v>
      </c>
    </row>
    <row r="15" spans="1:41">
      <c r="A15" s="1">
        <v>14</v>
      </c>
      <c r="B15" t="s">
        <v>29</v>
      </c>
      <c r="C15" t="s">
        <v>63</v>
      </c>
      <c r="D15">
        <v>28</v>
      </c>
      <c r="E15">
        <v>69</v>
      </c>
      <c r="F15">
        <v>162</v>
      </c>
      <c r="G15">
        <v>150</v>
      </c>
      <c r="H15">
        <v>9</v>
      </c>
      <c r="I15">
        <v>37</v>
      </c>
      <c r="J15">
        <v>5</v>
      </c>
      <c r="K15">
        <v>0</v>
      </c>
      <c r="L15">
        <v>3</v>
      </c>
      <c r="M15">
        <v>17</v>
      </c>
      <c r="N15">
        <v>0</v>
      </c>
      <c r="O15">
        <v>0</v>
      </c>
      <c r="P15">
        <v>8</v>
      </c>
      <c r="Q15">
        <v>12</v>
      </c>
      <c r="R15">
        <v>0.247</v>
      </c>
      <c r="S15">
        <v>0.28599999999999998</v>
      </c>
      <c r="T15">
        <v>0.34</v>
      </c>
      <c r="U15">
        <v>0.626</v>
      </c>
      <c r="V15">
        <v>74</v>
      </c>
      <c r="W15">
        <v>51</v>
      </c>
      <c r="X15">
        <v>7</v>
      </c>
      <c r="Y15">
        <v>1</v>
      </c>
      <c r="Z15">
        <v>1</v>
      </c>
      <c r="AA15">
        <v>2</v>
      </c>
      <c r="AB15">
        <v>1</v>
      </c>
      <c r="AC15" t="s">
        <v>64</v>
      </c>
      <c r="AE15">
        <f t="shared" si="0"/>
        <v>123</v>
      </c>
      <c r="AG15">
        <f t="shared" si="1"/>
        <v>39</v>
      </c>
      <c r="AH15" s="3">
        <f t="shared" si="2"/>
        <v>54.06</v>
      </c>
      <c r="AI15">
        <f t="shared" si="3"/>
        <v>162</v>
      </c>
      <c r="AJ15" s="3">
        <f t="shared" si="4"/>
        <v>12.66204938271602</v>
      </c>
      <c r="AK15" s="3">
        <f t="shared" si="5"/>
        <v>13.452888300577179</v>
      </c>
      <c r="AL15" s="3">
        <f t="shared" si="6"/>
        <v>10.474919069007759</v>
      </c>
      <c r="AM15" s="3">
        <f t="shared" si="7"/>
        <v>2.9779692315694195</v>
      </c>
      <c r="AN15" s="5">
        <f t="shared" si="8"/>
        <v>0.95163697296117655</v>
      </c>
    </row>
    <row r="16" spans="1:41">
      <c r="A16" s="1">
        <v>15</v>
      </c>
      <c r="B16" t="s">
        <v>37</v>
      </c>
      <c r="C16" t="s">
        <v>65</v>
      </c>
      <c r="D16">
        <v>31</v>
      </c>
      <c r="E16">
        <v>87</v>
      </c>
      <c r="F16">
        <v>128</v>
      </c>
      <c r="G16">
        <v>119</v>
      </c>
      <c r="H16">
        <v>18</v>
      </c>
      <c r="I16">
        <v>24</v>
      </c>
      <c r="J16">
        <v>6</v>
      </c>
      <c r="K16">
        <v>0</v>
      </c>
      <c r="L16">
        <v>1</v>
      </c>
      <c r="M16">
        <v>9</v>
      </c>
      <c r="N16">
        <v>0</v>
      </c>
      <c r="O16">
        <v>1</v>
      </c>
      <c r="P16">
        <v>0</v>
      </c>
      <c r="Q16">
        <v>21</v>
      </c>
      <c r="R16">
        <v>0.20200000000000001</v>
      </c>
      <c r="S16">
        <v>0.2</v>
      </c>
      <c r="T16">
        <v>0.27700000000000002</v>
      </c>
      <c r="U16">
        <v>0.47699999999999998</v>
      </c>
      <c r="V16">
        <v>32</v>
      </c>
      <c r="W16">
        <v>33</v>
      </c>
      <c r="X16">
        <v>2</v>
      </c>
      <c r="Y16">
        <v>0</v>
      </c>
      <c r="Z16">
        <v>8</v>
      </c>
      <c r="AA16">
        <v>1</v>
      </c>
      <c r="AB16">
        <v>0</v>
      </c>
      <c r="AC16" t="s">
        <v>66</v>
      </c>
      <c r="AE16">
        <f t="shared" si="0"/>
        <v>107</v>
      </c>
      <c r="AG16">
        <f t="shared" si="1"/>
        <v>21</v>
      </c>
      <c r="AH16" s="3">
        <f t="shared" si="2"/>
        <v>36.869999999999997</v>
      </c>
      <c r="AI16">
        <f t="shared" si="3"/>
        <v>128</v>
      </c>
      <c r="AJ16" s="3">
        <f t="shared" si="4"/>
        <v>4.7041093749999874</v>
      </c>
      <c r="AK16" s="3">
        <f t="shared" si="5"/>
        <v>4.9979159030888507</v>
      </c>
      <c r="AL16" s="3">
        <f t="shared" si="6"/>
        <v>9.112327970600246</v>
      </c>
      <c r="AM16" s="3">
        <f t="shared" si="7"/>
        <v>0</v>
      </c>
      <c r="AN16" s="5">
        <f t="shared" si="8"/>
        <v>0</v>
      </c>
    </row>
    <row r="17" spans="1:56">
      <c r="A17" s="1">
        <v>16</v>
      </c>
      <c r="B17" t="s">
        <v>32</v>
      </c>
      <c r="C17" t="s">
        <v>67</v>
      </c>
      <c r="D17">
        <v>31</v>
      </c>
      <c r="E17">
        <v>33</v>
      </c>
      <c r="F17">
        <v>100</v>
      </c>
      <c r="G17">
        <v>91</v>
      </c>
      <c r="H17">
        <v>5</v>
      </c>
      <c r="I17">
        <v>15</v>
      </c>
      <c r="J17">
        <v>2</v>
      </c>
      <c r="K17">
        <v>1</v>
      </c>
      <c r="L17">
        <v>0</v>
      </c>
      <c r="M17">
        <v>5</v>
      </c>
      <c r="N17">
        <v>0</v>
      </c>
      <c r="O17">
        <v>0</v>
      </c>
      <c r="P17">
        <v>7</v>
      </c>
      <c r="Q17">
        <v>13</v>
      </c>
      <c r="R17">
        <v>0.16500000000000001</v>
      </c>
      <c r="S17">
        <v>0.222</v>
      </c>
      <c r="T17">
        <v>0.20899999999999999</v>
      </c>
      <c r="U17">
        <v>0.43099999999999999</v>
      </c>
      <c r="V17">
        <v>21</v>
      </c>
      <c r="W17">
        <v>19</v>
      </c>
      <c r="X17">
        <v>3</v>
      </c>
      <c r="Y17">
        <v>0</v>
      </c>
      <c r="Z17">
        <v>1</v>
      </c>
      <c r="AA17">
        <v>1</v>
      </c>
      <c r="AB17">
        <v>1</v>
      </c>
      <c r="AC17" t="s">
        <v>68</v>
      </c>
      <c r="AE17">
        <f t="shared" si="0"/>
        <v>81</v>
      </c>
      <c r="AG17">
        <f t="shared" si="1"/>
        <v>19</v>
      </c>
      <c r="AH17" s="3">
        <f t="shared" si="2"/>
        <v>21.05</v>
      </c>
      <c r="AI17">
        <f t="shared" si="3"/>
        <v>100</v>
      </c>
      <c r="AJ17" s="3">
        <f t="shared" si="4"/>
        <v>2.3910555555555533</v>
      </c>
      <c r="AK17" s="3">
        <f t="shared" si="5"/>
        <v>2.5403947131395257</v>
      </c>
      <c r="AL17" s="3">
        <f t="shared" si="6"/>
        <v>6.8981174356880368</v>
      </c>
      <c r="AM17" s="3">
        <f t="shared" si="7"/>
        <v>0</v>
      </c>
      <c r="AN17" s="5">
        <f t="shared" si="8"/>
        <v>0</v>
      </c>
    </row>
    <row r="18" spans="1:56">
      <c r="A18" s="1">
        <v>17</v>
      </c>
      <c r="B18" t="s">
        <v>32</v>
      </c>
      <c r="C18" t="s">
        <v>69</v>
      </c>
      <c r="D18">
        <v>26</v>
      </c>
      <c r="E18">
        <v>17</v>
      </c>
      <c r="F18">
        <v>45</v>
      </c>
      <c r="G18">
        <v>41</v>
      </c>
      <c r="H18">
        <v>5</v>
      </c>
      <c r="I18">
        <v>7</v>
      </c>
      <c r="J18">
        <v>0</v>
      </c>
      <c r="K18">
        <v>0</v>
      </c>
      <c r="L18">
        <v>0</v>
      </c>
      <c r="M18">
        <v>1</v>
      </c>
      <c r="N18">
        <v>0</v>
      </c>
      <c r="O18">
        <v>0</v>
      </c>
      <c r="P18">
        <v>4</v>
      </c>
      <c r="Q18">
        <v>9</v>
      </c>
      <c r="R18">
        <v>0.17100000000000001</v>
      </c>
      <c r="S18">
        <v>0.24399999999999999</v>
      </c>
      <c r="T18">
        <v>0.17100000000000001</v>
      </c>
      <c r="U18">
        <v>0.41499999999999998</v>
      </c>
      <c r="V18">
        <v>18</v>
      </c>
      <c r="W18">
        <v>7</v>
      </c>
      <c r="X18">
        <v>0</v>
      </c>
      <c r="Y18">
        <v>0</v>
      </c>
      <c r="Z18">
        <v>0</v>
      </c>
      <c r="AA18">
        <v>0</v>
      </c>
      <c r="AB18">
        <v>0</v>
      </c>
      <c r="AC18" t="s">
        <v>70</v>
      </c>
      <c r="AE18">
        <f t="shared" si="0"/>
        <v>34</v>
      </c>
      <c r="AG18">
        <f t="shared" si="1"/>
        <v>11</v>
      </c>
      <c r="AH18" s="3">
        <f t="shared" si="2"/>
        <v>7.6899999999999995</v>
      </c>
      <c r="AI18">
        <f t="shared" si="3"/>
        <v>45</v>
      </c>
      <c r="AJ18" s="3">
        <f t="shared" si="4"/>
        <v>1.4261975308642008</v>
      </c>
      <c r="AK18" s="3">
        <f t="shared" si="5"/>
        <v>1.5152741469690549</v>
      </c>
      <c r="AL18" s="3">
        <f t="shared" si="6"/>
        <v>2.8955060841159659</v>
      </c>
      <c r="AM18" s="3">
        <f t="shared" si="7"/>
        <v>0</v>
      </c>
      <c r="AN18" s="5">
        <f t="shared" si="8"/>
        <v>0</v>
      </c>
    </row>
    <row r="19" spans="1:56">
      <c r="A19" s="1">
        <v>18</v>
      </c>
      <c r="B19" t="s">
        <v>71</v>
      </c>
      <c r="C19" t="s">
        <v>72</v>
      </c>
      <c r="D19">
        <v>33</v>
      </c>
      <c r="E19">
        <v>14</v>
      </c>
      <c r="F19">
        <v>33</v>
      </c>
      <c r="G19">
        <v>29</v>
      </c>
      <c r="H19">
        <v>3</v>
      </c>
      <c r="I19">
        <v>4</v>
      </c>
      <c r="J19">
        <v>0</v>
      </c>
      <c r="K19">
        <v>1</v>
      </c>
      <c r="L19">
        <v>0</v>
      </c>
      <c r="M19">
        <v>2</v>
      </c>
      <c r="N19">
        <v>0</v>
      </c>
      <c r="O19">
        <v>0</v>
      </c>
      <c r="P19">
        <v>3</v>
      </c>
      <c r="Q19">
        <v>4</v>
      </c>
      <c r="R19">
        <v>0.13800000000000001</v>
      </c>
      <c r="S19">
        <v>0.219</v>
      </c>
      <c r="T19">
        <v>0.20699999999999999</v>
      </c>
      <c r="U19">
        <v>0.42599999999999999</v>
      </c>
      <c r="V19">
        <v>20</v>
      </c>
      <c r="W19">
        <v>6</v>
      </c>
      <c r="X19">
        <v>1</v>
      </c>
      <c r="Y19">
        <v>0</v>
      </c>
      <c r="Z19">
        <v>1</v>
      </c>
      <c r="AA19">
        <v>0</v>
      </c>
      <c r="AB19">
        <v>0</v>
      </c>
      <c r="AC19" t="s">
        <v>73</v>
      </c>
      <c r="AE19">
        <f t="shared" si="0"/>
        <v>27</v>
      </c>
      <c r="AG19">
        <f t="shared" si="1"/>
        <v>6</v>
      </c>
      <c r="AH19" s="3">
        <f t="shared" si="2"/>
        <v>7.1</v>
      </c>
      <c r="AI19">
        <f t="shared" si="3"/>
        <v>33</v>
      </c>
      <c r="AJ19" s="3">
        <f t="shared" si="4"/>
        <v>0.73676767676767696</v>
      </c>
      <c r="AK19" s="3">
        <f t="shared" si="5"/>
        <v>0.78278428392175903</v>
      </c>
      <c r="AL19" s="3">
        <f t="shared" si="6"/>
        <v>2.2993724785626792</v>
      </c>
      <c r="AM19" s="3">
        <f t="shared" si="7"/>
        <v>0</v>
      </c>
      <c r="AN19" s="5">
        <f t="shared" si="8"/>
        <v>0</v>
      </c>
    </row>
    <row r="20" spans="1:56">
      <c r="A20" s="1">
        <v>19</v>
      </c>
      <c r="C20" t="s">
        <v>74</v>
      </c>
      <c r="D20">
        <v>33</v>
      </c>
      <c r="E20">
        <v>7</v>
      </c>
      <c r="F20">
        <v>5</v>
      </c>
      <c r="G20">
        <v>4</v>
      </c>
      <c r="H20">
        <v>2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2</v>
      </c>
      <c r="R20">
        <v>0</v>
      </c>
      <c r="S20">
        <v>0</v>
      </c>
      <c r="T20">
        <v>0</v>
      </c>
      <c r="U20">
        <v>0</v>
      </c>
      <c r="V20">
        <v>-100</v>
      </c>
      <c r="W20">
        <v>0</v>
      </c>
      <c r="X20">
        <v>0</v>
      </c>
      <c r="Y20">
        <v>0</v>
      </c>
      <c r="Z20">
        <v>1</v>
      </c>
      <c r="AA20">
        <v>0</v>
      </c>
      <c r="AB20">
        <v>0</v>
      </c>
      <c r="AC20" t="s">
        <v>75</v>
      </c>
      <c r="AE20">
        <f t="shared" si="0"/>
        <v>5</v>
      </c>
      <c r="AG20">
        <f t="shared" si="1"/>
        <v>0</v>
      </c>
      <c r="AH20" s="3">
        <f t="shared" si="2"/>
        <v>0.44</v>
      </c>
      <c r="AI20">
        <f t="shared" si="3"/>
        <v>5</v>
      </c>
      <c r="AJ20" s="3">
        <f t="shared" si="4"/>
        <v>-0.38266666666666627</v>
      </c>
      <c r="AK20" s="3">
        <f t="shared" si="5"/>
        <v>-0.40656703882769235</v>
      </c>
      <c r="AL20" s="3">
        <f t="shared" si="6"/>
        <v>0.42580971825234792</v>
      </c>
      <c r="AM20" s="3">
        <f t="shared" si="7"/>
        <v>0</v>
      </c>
      <c r="AN20" s="5">
        <f t="shared" si="8"/>
        <v>0</v>
      </c>
    </row>
    <row r="21" spans="1:56">
      <c r="H21">
        <f>SUM(H2:H20)</f>
        <v>696</v>
      </c>
      <c r="AJ21" s="3">
        <f>SUM(AJ2:AJ20)</f>
        <v>655.08507715716689</v>
      </c>
      <c r="AK21" s="3">
        <f>SUM(AK2:AK20)</f>
        <v>695.99999999999989</v>
      </c>
      <c r="AM21" s="3">
        <f>SUM(AM2:AM20)</f>
        <v>342.61709849561572</v>
      </c>
      <c r="AN21" s="3">
        <f>SUM(AN2:AN20)</f>
        <v>109.48638926174497</v>
      </c>
    </row>
    <row r="23" spans="1:56">
      <c r="A23" s="1" t="s">
        <v>0</v>
      </c>
      <c r="B23" t="s">
        <v>1</v>
      </c>
      <c r="C23" t="s">
        <v>2</v>
      </c>
      <c r="D23" t="s">
        <v>3</v>
      </c>
      <c r="E23" t="s">
        <v>76</v>
      </c>
      <c r="F23" t="s">
        <v>77</v>
      </c>
      <c r="G23" t="s">
        <v>78</v>
      </c>
      <c r="H23" t="s">
        <v>79</v>
      </c>
      <c r="I23" t="s">
        <v>4</v>
      </c>
      <c r="J23" t="s">
        <v>80</v>
      </c>
      <c r="K23" t="s">
        <v>81</v>
      </c>
      <c r="L23" t="s">
        <v>82</v>
      </c>
      <c r="M23" t="s">
        <v>83</v>
      </c>
      <c r="N23" t="s">
        <v>84</v>
      </c>
      <c r="O23" t="s">
        <v>85</v>
      </c>
      <c r="P23" t="s">
        <v>8</v>
      </c>
      <c r="Q23" t="s">
        <v>7</v>
      </c>
      <c r="R23" t="s">
        <v>86</v>
      </c>
      <c r="S23" t="s">
        <v>11</v>
      </c>
      <c r="T23" t="s">
        <v>15</v>
      </c>
      <c r="U23" t="s">
        <v>27</v>
      </c>
      <c r="V23" t="s">
        <v>16</v>
      </c>
      <c r="W23" t="s">
        <v>24</v>
      </c>
      <c r="X23" t="s">
        <v>87</v>
      </c>
      <c r="Y23" t="s">
        <v>88</v>
      </c>
      <c r="Z23" t="s">
        <v>89</v>
      </c>
      <c r="AA23" t="s">
        <v>90</v>
      </c>
      <c r="AB23" t="s">
        <v>91</v>
      </c>
      <c r="AC23" t="s">
        <v>92</v>
      </c>
      <c r="AD23" t="s">
        <v>93</v>
      </c>
      <c r="AE23" t="s">
        <v>94</v>
      </c>
      <c r="AF23" t="s">
        <v>95</v>
      </c>
      <c r="AG23" t="s">
        <v>96</v>
      </c>
      <c r="AH23" t="s">
        <v>97</v>
      </c>
      <c r="AI23" t="s">
        <v>28</v>
      </c>
      <c r="AK23" t="s">
        <v>240</v>
      </c>
      <c r="AL23" t="s">
        <v>244</v>
      </c>
      <c r="AM23" t="s">
        <v>245</v>
      </c>
      <c r="AN23" t="s">
        <v>246</v>
      </c>
      <c r="AO23" t="s">
        <v>247</v>
      </c>
      <c r="AP23" t="s">
        <v>249</v>
      </c>
      <c r="AQ23" t="s">
        <v>248</v>
      </c>
      <c r="AR23" t="s">
        <v>250</v>
      </c>
      <c r="AS23" t="s">
        <v>251</v>
      </c>
      <c r="AT23" t="s">
        <v>252</v>
      </c>
      <c r="AU23" t="s">
        <v>185</v>
      </c>
      <c r="AV23" t="s">
        <v>198</v>
      </c>
      <c r="BB23" t="s">
        <v>258</v>
      </c>
    </row>
    <row r="24" spans="1:56">
      <c r="A24" s="1">
        <v>1</v>
      </c>
      <c r="B24" t="s">
        <v>98</v>
      </c>
      <c r="C24" t="s">
        <v>99</v>
      </c>
      <c r="D24">
        <v>23</v>
      </c>
      <c r="E24">
        <v>15</v>
      </c>
      <c r="F24">
        <v>11</v>
      </c>
      <c r="G24">
        <v>0.57699999999999996</v>
      </c>
      <c r="H24">
        <v>3.47</v>
      </c>
      <c r="I24">
        <v>34</v>
      </c>
      <c r="J24">
        <v>34</v>
      </c>
      <c r="K24">
        <v>0</v>
      </c>
      <c r="L24">
        <v>9</v>
      </c>
      <c r="M24">
        <v>2</v>
      </c>
      <c r="N24">
        <v>0</v>
      </c>
      <c r="O24">
        <v>246.2</v>
      </c>
      <c r="P24">
        <v>227</v>
      </c>
      <c r="Q24">
        <v>103</v>
      </c>
      <c r="R24">
        <v>95</v>
      </c>
      <c r="S24">
        <v>17</v>
      </c>
      <c r="T24">
        <v>84</v>
      </c>
      <c r="U24">
        <v>3</v>
      </c>
      <c r="V24">
        <v>196</v>
      </c>
      <c r="W24">
        <v>5</v>
      </c>
      <c r="X24">
        <v>1</v>
      </c>
      <c r="Y24">
        <v>7</v>
      </c>
      <c r="Z24">
        <v>1032</v>
      </c>
      <c r="AA24">
        <v>116</v>
      </c>
      <c r="AB24">
        <v>3.16</v>
      </c>
      <c r="AC24">
        <v>1.2609999999999999</v>
      </c>
      <c r="AD24">
        <v>8.3000000000000007</v>
      </c>
      <c r="AE24">
        <v>0.6</v>
      </c>
      <c r="AF24">
        <v>3.1</v>
      </c>
      <c r="AG24">
        <v>7.2</v>
      </c>
      <c r="AH24">
        <v>2.33</v>
      </c>
      <c r="AI24" t="s">
        <v>100</v>
      </c>
      <c r="AK24" s="6">
        <f>D$111</f>
        <v>5.9149401031665336</v>
      </c>
      <c r="AL24" s="5">
        <f>AK24*O24/9-Q24+(Q24-R24)/2</f>
        <v>62.806472599955612</v>
      </c>
      <c r="AM24" s="5">
        <f>E24-F24/3+N24/3</f>
        <v>11.333333333333334</v>
      </c>
      <c r="AN24">
        <v>0</v>
      </c>
      <c r="AO24">
        <f>MIN(N24*3+AN24,O24*0.9)</f>
        <v>0</v>
      </c>
      <c r="AP24" s="6">
        <f>((P24+T24+W24)*(((P24-S24)*1.255+S24*4)*0.89+(T24-U24+W24)*0.56)/Z24)*9/O24</f>
        <v>3.8420154487748657</v>
      </c>
      <c r="AQ24" s="6">
        <f>IF(AP24&lt;2.24,AP24*0.75,AP24-0.56)</f>
        <v>3.2820154487748656</v>
      </c>
      <c r="AR24" s="5">
        <f>(AK24-AP24)*AO24/9</f>
        <v>0</v>
      </c>
      <c r="AS24" s="5">
        <f>AR24+AM24+AL24</f>
        <v>74.13980593328894</v>
      </c>
      <c r="AT24" s="5">
        <f>MAX(AS24,0)</f>
        <v>74.13980593328894</v>
      </c>
      <c r="AU24" s="5">
        <f>O$109*AT24/AT$42</f>
        <v>17.386644060702956</v>
      </c>
      <c r="AV24">
        <v>17.600000000000001</v>
      </c>
      <c r="AZ24" t="s">
        <v>253</v>
      </c>
      <c r="BA24">
        <v>20539</v>
      </c>
    </row>
    <row r="25" spans="1:56">
      <c r="A25" s="1">
        <v>2</v>
      </c>
      <c r="B25" t="s">
        <v>98</v>
      </c>
      <c r="C25" t="s">
        <v>101</v>
      </c>
      <c r="D25">
        <v>23</v>
      </c>
      <c r="E25">
        <v>15</v>
      </c>
      <c r="F25">
        <v>9</v>
      </c>
      <c r="G25">
        <v>0.5</v>
      </c>
      <c r="H25">
        <v>3.76</v>
      </c>
      <c r="I25">
        <v>33</v>
      </c>
      <c r="J25">
        <v>33</v>
      </c>
      <c r="K25">
        <v>0</v>
      </c>
      <c r="L25">
        <v>8</v>
      </c>
      <c r="M25">
        <v>2</v>
      </c>
      <c r="N25">
        <v>0</v>
      </c>
      <c r="O25">
        <v>229.2</v>
      </c>
      <c r="P25">
        <v>219</v>
      </c>
      <c r="Q25">
        <v>77</v>
      </c>
      <c r="R25">
        <v>66</v>
      </c>
      <c r="S25">
        <v>2</v>
      </c>
      <c r="T25">
        <v>61</v>
      </c>
      <c r="U25">
        <v>3</v>
      </c>
      <c r="V25">
        <v>87</v>
      </c>
      <c r="W25">
        <v>4</v>
      </c>
      <c r="X25">
        <v>0</v>
      </c>
      <c r="Y25">
        <v>3</v>
      </c>
      <c r="Z25">
        <v>952</v>
      </c>
      <c r="AA25">
        <v>106</v>
      </c>
      <c r="AB25">
        <v>4.16</v>
      </c>
      <c r="AC25">
        <v>1.3109999999999999</v>
      </c>
      <c r="AD25">
        <v>9.4</v>
      </c>
      <c r="AE25">
        <v>0.9</v>
      </c>
      <c r="AF25">
        <v>2.4</v>
      </c>
      <c r="AG25">
        <v>3.4</v>
      </c>
      <c r="AH25">
        <v>1.43</v>
      </c>
      <c r="AI25" t="s">
        <v>102</v>
      </c>
      <c r="AK25" s="6">
        <f t="shared" ref="AK25:AK41" si="9">D$111</f>
        <v>5.9149401031665336</v>
      </c>
      <c r="AL25" s="5">
        <f t="shared" ref="AL25:AL41" si="10">AK25*O25/9-Q25+(Q25-R25)/2</f>
        <v>79.133807960641064</v>
      </c>
      <c r="AM25" s="5">
        <f t="shared" ref="AM25:AM41" si="11">E25-F25/3+N25/3</f>
        <v>12</v>
      </c>
      <c r="AN25">
        <v>0</v>
      </c>
      <c r="AO25">
        <f t="shared" ref="AO25:AO41" si="12">MIN(N25*3+AN25,O25*0.9)</f>
        <v>0</v>
      </c>
      <c r="AP25" s="6">
        <f t="shared" ref="AP25:AP41" si="13">((P25+T25+W25)*(((P25-S25)*1.255+S25*4)*0.89+(T25-U25+W25)*0.56)/Z25)*9/O25</f>
        <v>3.3293625956927277</v>
      </c>
      <c r="AQ25" s="6">
        <f t="shared" ref="AQ25:AQ41" si="14">IF(AP25&lt;2.24,AP25*0.75,AP25-0.56)</f>
        <v>2.7693625956927277</v>
      </c>
      <c r="AR25" s="5">
        <f t="shared" ref="AR25:AR41" si="15">(AK25-AP25)*AO25/9</f>
        <v>0</v>
      </c>
      <c r="AS25" s="5">
        <f t="shared" ref="AS25:AS41" si="16">AR25+AM25+AL25</f>
        <v>91.133807960641064</v>
      </c>
      <c r="AT25" s="5">
        <f t="shared" ref="AT25:AT41" si="17">MAX(AS25,0)</f>
        <v>91.133807960641064</v>
      </c>
      <c r="AU25" s="5">
        <f t="shared" ref="AU25:AU41" si="18">O$109*AT25/AT$42</f>
        <v>21.371934562842913</v>
      </c>
      <c r="AV25">
        <v>13.6</v>
      </c>
      <c r="AZ25" t="s">
        <v>254</v>
      </c>
      <c r="BA25">
        <f>BA24-BA26-BA27-BA28</f>
        <v>14583</v>
      </c>
      <c r="BB25">
        <v>0.46</v>
      </c>
      <c r="BC25">
        <f>BB25*BA25</f>
        <v>6708.18</v>
      </c>
    </row>
    <row r="26" spans="1:56">
      <c r="A26" s="1">
        <v>3</v>
      </c>
      <c r="B26" t="s">
        <v>98</v>
      </c>
      <c r="C26" t="s">
        <v>103</v>
      </c>
      <c r="D26">
        <v>38</v>
      </c>
      <c r="E26">
        <v>13</v>
      </c>
      <c r="F26">
        <v>10</v>
      </c>
      <c r="G26">
        <v>0.56499999999999995</v>
      </c>
      <c r="H26">
        <v>3.12</v>
      </c>
      <c r="I26">
        <v>28</v>
      </c>
      <c r="J26">
        <v>27</v>
      </c>
      <c r="K26">
        <v>1</v>
      </c>
      <c r="L26">
        <v>9</v>
      </c>
      <c r="M26">
        <v>5</v>
      </c>
      <c r="N26">
        <v>0</v>
      </c>
      <c r="O26">
        <v>199.1</v>
      </c>
      <c r="P26">
        <v>200</v>
      </c>
      <c r="Q26">
        <v>78</v>
      </c>
      <c r="R26">
        <v>69</v>
      </c>
      <c r="S26">
        <v>11</v>
      </c>
      <c r="T26">
        <v>48</v>
      </c>
      <c r="U26">
        <v>4</v>
      </c>
      <c r="V26">
        <v>61</v>
      </c>
      <c r="W26">
        <v>1</v>
      </c>
      <c r="X26">
        <v>0</v>
      </c>
      <c r="Y26">
        <v>3</v>
      </c>
      <c r="Z26">
        <v>821</v>
      </c>
      <c r="AA26">
        <v>129</v>
      </c>
      <c r="AB26">
        <v>3.61</v>
      </c>
      <c r="AC26">
        <v>1.244</v>
      </c>
      <c r="AD26">
        <v>9</v>
      </c>
      <c r="AE26">
        <v>0.5</v>
      </c>
      <c r="AF26">
        <v>2.2000000000000002</v>
      </c>
      <c r="AG26">
        <v>2.8</v>
      </c>
      <c r="AH26">
        <v>1.27</v>
      </c>
      <c r="AI26" t="s">
        <v>104</v>
      </c>
      <c r="AK26" s="6">
        <f t="shared" si="9"/>
        <v>5.9149401031665336</v>
      </c>
      <c r="AL26" s="5">
        <f t="shared" si="10"/>
        <v>57.351619393384112</v>
      </c>
      <c r="AM26" s="5">
        <f t="shared" si="11"/>
        <v>9.6666666666666661</v>
      </c>
      <c r="AN26">
        <v>0</v>
      </c>
      <c r="AO26">
        <f t="shared" si="12"/>
        <v>0</v>
      </c>
      <c r="AP26" s="6">
        <f t="shared" si="13"/>
        <v>3.7765181780252304</v>
      </c>
      <c r="AQ26" s="6">
        <f t="shared" si="14"/>
        <v>3.2165181780252303</v>
      </c>
      <c r="AR26" s="5">
        <f t="shared" si="15"/>
        <v>0</v>
      </c>
      <c r="AS26" s="5">
        <f t="shared" si="16"/>
        <v>67.018286060050784</v>
      </c>
      <c r="AT26" s="5">
        <f t="shared" si="17"/>
        <v>67.018286060050784</v>
      </c>
      <c r="AU26" s="5">
        <f t="shared" si="18"/>
        <v>15.716565084253693</v>
      </c>
      <c r="AV26">
        <v>15.8</v>
      </c>
      <c r="AZ26" t="s">
        <v>255</v>
      </c>
      <c r="BA26">
        <v>3442</v>
      </c>
      <c r="BB26">
        <v>0.8</v>
      </c>
      <c r="BC26">
        <f>BB26*BA26</f>
        <v>2753.6000000000004</v>
      </c>
    </row>
    <row r="27" spans="1:56">
      <c r="A27" s="1">
        <v>4</v>
      </c>
      <c r="B27" t="s">
        <v>98</v>
      </c>
      <c r="C27" t="s">
        <v>105</v>
      </c>
      <c r="D27">
        <v>41</v>
      </c>
      <c r="E27">
        <v>7</v>
      </c>
      <c r="F27">
        <v>13</v>
      </c>
      <c r="G27">
        <v>0.35</v>
      </c>
      <c r="H27">
        <v>4.5199999999999996</v>
      </c>
      <c r="I27">
        <v>32</v>
      </c>
      <c r="J27">
        <v>29</v>
      </c>
      <c r="K27">
        <v>1</v>
      </c>
      <c r="L27">
        <v>4</v>
      </c>
      <c r="M27">
        <v>1</v>
      </c>
      <c r="N27">
        <v>0</v>
      </c>
      <c r="O27">
        <v>181.1</v>
      </c>
      <c r="P27">
        <v>223</v>
      </c>
      <c r="Q27">
        <v>97</v>
      </c>
      <c r="R27">
        <v>91</v>
      </c>
      <c r="S27">
        <v>15</v>
      </c>
      <c r="T27">
        <v>56</v>
      </c>
      <c r="U27">
        <v>3</v>
      </c>
      <c r="V27">
        <v>47</v>
      </c>
      <c r="W27">
        <v>4</v>
      </c>
      <c r="X27">
        <v>0</v>
      </c>
      <c r="Y27">
        <v>11</v>
      </c>
      <c r="Z27">
        <v>797</v>
      </c>
      <c r="AA27">
        <v>89</v>
      </c>
      <c r="AB27">
        <v>4.32</v>
      </c>
      <c r="AC27">
        <v>1.5389999999999999</v>
      </c>
      <c r="AD27">
        <v>11.1</v>
      </c>
      <c r="AE27">
        <v>0.7</v>
      </c>
      <c r="AF27">
        <v>2.8</v>
      </c>
      <c r="AG27">
        <v>2.2999999999999998</v>
      </c>
      <c r="AH27">
        <v>0.84</v>
      </c>
      <c r="AI27" t="s">
        <v>106</v>
      </c>
      <c r="AK27" s="6">
        <f t="shared" si="9"/>
        <v>5.9149401031665336</v>
      </c>
      <c r="AL27" s="5">
        <f t="shared" si="10"/>
        <v>25.021739187051026</v>
      </c>
      <c r="AM27" s="5">
        <f t="shared" si="11"/>
        <v>2.666666666666667</v>
      </c>
      <c r="AN27">
        <v>0</v>
      </c>
      <c r="AO27">
        <f t="shared" si="12"/>
        <v>0</v>
      </c>
      <c r="AP27" s="6">
        <f t="shared" si="13"/>
        <v>5.6052503846907964</v>
      </c>
      <c r="AQ27" s="6">
        <f t="shared" si="14"/>
        <v>5.0452503846907959</v>
      </c>
      <c r="AR27" s="5">
        <f t="shared" si="15"/>
        <v>0</v>
      </c>
      <c r="AS27" s="5">
        <f t="shared" si="16"/>
        <v>27.688405853717693</v>
      </c>
      <c r="AT27" s="5">
        <f t="shared" si="17"/>
        <v>27.688405853717693</v>
      </c>
      <c r="AU27" s="5">
        <f t="shared" si="18"/>
        <v>6.4932521892496649</v>
      </c>
      <c r="AV27">
        <v>6.7</v>
      </c>
      <c r="AZ27" t="s">
        <v>256</v>
      </c>
      <c r="BA27">
        <v>534</v>
      </c>
      <c r="BB27">
        <v>1.05</v>
      </c>
      <c r="BC27">
        <f>BB27*BA27</f>
        <v>560.70000000000005</v>
      </c>
    </row>
    <row r="28" spans="1:56">
      <c r="A28" s="1">
        <v>5</v>
      </c>
      <c r="B28" t="s">
        <v>98</v>
      </c>
      <c r="C28" t="s">
        <v>107</v>
      </c>
      <c r="D28">
        <v>34</v>
      </c>
      <c r="E28">
        <v>7</v>
      </c>
      <c r="F28">
        <v>10</v>
      </c>
      <c r="G28">
        <v>0.41199999999999998</v>
      </c>
      <c r="H28">
        <v>4.97</v>
      </c>
      <c r="I28">
        <v>32</v>
      </c>
      <c r="J28">
        <v>22</v>
      </c>
      <c r="K28">
        <v>1</v>
      </c>
      <c r="L28">
        <v>5</v>
      </c>
      <c r="M28">
        <v>1</v>
      </c>
      <c r="N28">
        <v>0</v>
      </c>
      <c r="O28">
        <v>163</v>
      </c>
      <c r="P28">
        <v>192</v>
      </c>
      <c r="Q28">
        <v>95</v>
      </c>
      <c r="R28">
        <v>90</v>
      </c>
      <c r="S28">
        <v>22</v>
      </c>
      <c r="T28">
        <v>56</v>
      </c>
      <c r="U28">
        <v>5</v>
      </c>
      <c r="V28">
        <v>67</v>
      </c>
      <c r="W28">
        <v>2</v>
      </c>
      <c r="X28">
        <v>0</v>
      </c>
      <c r="Y28">
        <v>6</v>
      </c>
      <c r="Z28">
        <v>722</v>
      </c>
      <c r="AA28">
        <v>81</v>
      </c>
      <c r="AB28">
        <v>4.7699999999999996</v>
      </c>
      <c r="AC28">
        <v>1.5209999999999999</v>
      </c>
      <c r="AD28">
        <v>10.6</v>
      </c>
      <c r="AE28">
        <v>1.2</v>
      </c>
      <c r="AF28">
        <v>3.1</v>
      </c>
      <c r="AG28">
        <v>3.7</v>
      </c>
      <c r="AH28">
        <v>1.2</v>
      </c>
      <c r="AI28" t="s">
        <v>108</v>
      </c>
      <c r="AK28" s="6">
        <f t="shared" si="9"/>
        <v>5.9149401031665336</v>
      </c>
      <c r="AL28" s="5">
        <f t="shared" si="10"/>
        <v>14.626137424016108</v>
      </c>
      <c r="AM28" s="5">
        <f t="shared" si="11"/>
        <v>3.6666666666666665</v>
      </c>
      <c r="AN28">
        <v>2</v>
      </c>
      <c r="AO28">
        <f t="shared" si="12"/>
        <v>2</v>
      </c>
      <c r="AP28" s="6">
        <f t="shared" si="13"/>
        <v>5.6950986098601364</v>
      </c>
      <c r="AQ28" s="6">
        <f t="shared" si="14"/>
        <v>5.1350986098601368</v>
      </c>
      <c r="AR28" s="5">
        <f t="shared" si="15"/>
        <v>4.8853665179199389E-2</v>
      </c>
      <c r="AS28" s="5">
        <f t="shared" si="16"/>
        <v>18.341657755861974</v>
      </c>
      <c r="AT28" s="5">
        <f t="shared" si="17"/>
        <v>18.341657755861974</v>
      </c>
      <c r="AU28" s="5">
        <f t="shared" si="18"/>
        <v>4.3013313950585506</v>
      </c>
      <c r="AV28">
        <v>4.5</v>
      </c>
      <c r="AZ28" t="s">
        <v>257</v>
      </c>
      <c r="BA28">
        <v>1980</v>
      </c>
    </row>
    <row r="29" spans="1:56">
      <c r="A29" s="1">
        <v>6</v>
      </c>
      <c r="B29" t="s">
        <v>109</v>
      </c>
      <c r="C29" t="s">
        <v>110</v>
      </c>
      <c r="D29">
        <v>30</v>
      </c>
      <c r="E29">
        <v>9</v>
      </c>
      <c r="F29">
        <v>7</v>
      </c>
      <c r="G29">
        <v>0.56299999999999994</v>
      </c>
      <c r="H29">
        <v>3.33</v>
      </c>
      <c r="I29">
        <v>49</v>
      </c>
      <c r="J29">
        <v>0</v>
      </c>
      <c r="K29">
        <v>44</v>
      </c>
      <c r="L29">
        <v>0</v>
      </c>
      <c r="M29">
        <v>0</v>
      </c>
      <c r="N29">
        <v>11</v>
      </c>
      <c r="O29">
        <v>83.2</v>
      </c>
      <c r="P29">
        <v>84</v>
      </c>
      <c r="Q29">
        <v>34</v>
      </c>
      <c r="R29">
        <v>31</v>
      </c>
      <c r="S29">
        <v>10</v>
      </c>
      <c r="T29">
        <v>33</v>
      </c>
      <c r="U29">
        <v>9</v>
      </c>
      <c r="V29">
        <v>62</v>
      </c>
      <c r="W29">
        <v>3</v>
      </c>
      <c r="X29">
        <v>1</v>
      </c>
      <c r="Y29">
        <v>1</v>
      </c>
      <c r="Z29">
        <v>359</v>
      </c>
      <c r="AA29">
        <v>120</v>
      </c>
      <c r="AB29">
        <v>4.13</v>
      </c>
      <c r="AC29">
        <v>1.3979999999999999</v>
      </c>
      <c r="AD29">
        <v>9</v>
      </c>
      <c r="AE29">
        <v>1.1000000000000001</v>
      </c>
      <c r="AF29">
        <v>3.5</v>
      </c>
      <c r="AG29">
        <v>6.7</v>
      </c>
      <c r="AH29">
        <v>1.88</v>
      </c>
      <c r="AI29" t="s">
        <v>111</v>
      </c>
      <c r="AK29" s="6">
        <f t="shared" si="9"/>
        <v>5.9149401031665336</v>
      </c>
      <c r="AL29" s="5">
        <f t="shared" si="10"/>
        <v>22.180335175939518</v>
      </c>
      <c r="AM29" s="5">
        <f t="shared" si="11"/>
        <v>10.333333333333332</v>
      </c>
      <c r="AN29">
        <v>0</v>
      </c>
      <c r="AO29">
        <f t="shared" si="12"/>
        <v>33</v>
      </c>
      <c r="AP29" s="6">
        <f t="shared" si="13"/>
        <v>4.8225654863938292</v>
      </c>
      <c r="AQ29" s="6">
        <f t="shared" si="14"/>
        <v>4.2625654863938287</v>
      </c>
      <c r="AR29" s="5">
        <f t="shared" si="15"/>
        <v>4.005373594833249</v>
      </c>
      <c r="AS29" s="5">
        <f t="shared" si="16"/>
        <v>36.519042104106099</v>
      </c>
      <c r="AT29" s="5">
        <f t="shared" si="17"/>
        <v>36.519042104106099</v>
      </c>
      <c r="AU29" s="5">
        <f t="shared" si="18"/>
        <v>8.564138771461586</v>
      </c>
      <c r="AV29">
        <v>8.6999999999999993</v>
      </c>
      <c r="AZ29" t="s">
        <v>259</v>
      </c>
      <c r="BA29">
        <f>BA24-BA28</f>
        <v>18559</v>
      </c>
      <c r="BC29">
        <f>BC27+BC26+BC25</f>
        <v>10022.48</v>
      </c>
      <c r="BD29" s="6">
        <f>BC29/BA29</f>
        <v>0.54003340697235835</v>
      </c>
    </row>
    <row r="30" spans="1:56">
      <c r="A30" s="1">
        <v>7</v>
      </c>
      <c r="B30" t="s">
        <v>112</v>
      </c>
      <c r="C30" t="s">
        <v>113</v>
      </c>
      <c r="D30">
        <v>31</v>
      </c>
      <c r="E30">
        <v>5</v>
      </c>
      <c r="F30">
        <v>1</v>
      </c>
      <c r="G30">
        <v>0.83299999999999996</v>
      </c>
      <c r="H30">
        <v>2.12</v>
      </c>
      <c r="I30">
        <v>45</v>
      </c>
      <c r="J30">
        <v>1</v>
      </c>
      <c r="K30">
        <v>30</v>
      </c>
      <c r="L30">
        <v>0</v>
      </c>
      <c r="M30">
        <v>0</v>
      </c>
      <c r="N30">
        <v>4</v>
      </c>
      <c r="O30">
        <v>85</v>
      </c>
      <c r="P30">
        <v>76</v>
      </c>
      <c r="Q30">
        <v>22</v>
      </c>
      <c r="R30">
        <v>20</v>
      </c>
      <c r="S30">
        <v>2</v>
      </c>
      <c r="T30">
        <v>30</v>
      </c>
      <c r="U30">
        <v>12</v>
      </c>
      <c r="V30">
        <v>48</v>
      </c>
      <c r="W30">
        <v>2</v>
      </c>
      <c r="X30">
        <v>0</v>
      </c>
      <c r="Y30">
        <v>2</v>
      </c>
      <c r="Z30">
        <v>353</v>
      </c>
      <c r="AA30">
        <v>190</v>
      </c>
      <c r="AB30">
        <v>3.07</v>
      </c>
      <c r="AC30">
        <v>1.2470000000000001</v>
      </c>
      <c r="AD30">
        <v>8</v>
      </c>
      <c r="AE30">
        <v>0.2</v>
      </c>
      <c r="AF30">
        <v>3.2</v>
      </c>
      <c r="AG30">
        <v>5.0999999999999996</v>
      </c>
      <c r="AH30">
        <v>1.6</v>
      </c>
      <c r="AI30" t="s">
        <v>114</v>
      </c>
      <c r="AK30" s="6">
        <f t="shared" si="9"/>
        <v>5.9149401031665336</v>
      </c>
      <c r="AL30" s="5">
        <f t="shared" si="10"/>
        <v>34.863323196572814</v>
      </c>
      <c r="AM30" s="5">
        <f t="shared" si="11"/>
        <v>6</v>
      </c>
      <c r="AN30">
        <v>2</v>
      </c>
      <c r="AO30">
        <f t="shared" si="12"/>
        <v>14</v>
      </c>
      <c r="AP30" s="6">
        <f t="shared" si="13"/>
        <v>3.271022149641726</v>
      </c>
      <c r="AQ30" s="6">
        <f t="shared" si="14"/>
        <v>2.7110221496417259</v>
      </c>
      <c r="AR30" s="5">
        <f t="shared" si="15"/>
        <v>4.1127612610385897</v>
      </c>
      <c r="AS30" s="5">
        <f t="shared" si="16"/>
        <v>44.976084457611407</v>
      </c>
      <c r="AT30" s="5">
        <f t="shared" si="17"/>
        <v>44.976084457611407</v>
      </c>
      <c r="AU30" s="5">
        <f t="shared" si="18"/>
        <v>10.547413253444892</v>
      </c>
      <c r="AV30">
        <v>10.4</v>
      </c>
    </row>
    <row r="31" spans="1:56">
      <c r="A31" s="1">
        <v>8</v>
      </c>
      <c r="B31" t="s">
        <v>112</v>
      </c>
      <c r="C31" t="s">
        <v>115</v>
      </c>
      <c r="D31">
        <v>26</v>
      </c>
      <c r="E31">
        <v>2</v>
      </c>
      <c r="F31">
        <v>3</v>
      </c>
      <c r="G31">
        <v>0.4</v>
      </c>
      <c r="H31">
        <v>4.57</v>
      </c>
      <c r="I31">
        <v>29</v>
      </c>
      <c r="J31">
        <v>1</v>
      </c>
      <c r="K31">
        <v>11</v>
      </c>
      <c r="L31">
        <v>0</v>
      </c>
      <c r="M31">
        <v>0</v>
      </c>
      <c r="N31">
        <v>1</v>
      </c>
      <c r="O31">
        <v>69</v>
      </c>
      <c r="P31">
        <v>68</v>
      </c>
      <c r="Q31">
        <v>37</v>
      </c>
      <c r="R31">
        <v>35</v>
      </c>
      <c r="S31">
        <v>13</v>
      </c>
      <c r="T31">
        <v>20</v>
      </c>
      <c r="U31">
        <v>4</v>
      </c>
      <c r="V31">
        <v>41</v>
      </c>
      <c r="W31">
        <v>0</v>
      </c>
      <c r="X31">
        <v>1</v>
      </c>
      <c r="Y31">
        <v>1</v>
      </c>
      <c r="Z31">
        <v>292</v>
      </c>
      <c r="AA31">
        <v>88</v>
      </c>
      <c r="AB31">
        <v>4.9000000000000004</v>
      </c>
      <c r="AC31">
        <v>1.2749999999999999</v>
      </c>
      <c r="AD31">
        <v>8.9</v>
      </c>
      <c r="AE31">
        <v>1.7</v>
      </c>
      <c r="AF31">
        <v>2.6</v>
      </c>
      <c r="AG31">
        <v>5.3</v>
      </c>
      <c r="AH31">
        <v>2.0499999999999998</v>
      </c>
      <c r="AI31" t="s">
        <v>116</v>
      </c>
      <c r="AK31" s="6">
        <f t="shared" si="9"/>
        <v>5.9149401031665336</v>
      </c>
      <c r="AL31" s="5">
        <f t="shared" si="10"/>
        <v>9.3478741242767569</v>
      </c>
      <c r="AM31" s="5">
        <f t="shared" si="11"/>
        <v>1.3333333333333333</v>
      </c>
      <c r="AN31">
        <v>1</v>
      </c>
      <c r="AO31">
        <f t="shared" si="12"/>
        <v>4</v>
      </c>
      <c r="AP31" s="6">
        <f t="shared" si="13"/>
        <v>4.5862826086956519</v>
      </c>
      <c r="AQ31" s="6">
        <f t="shared" si="14"/>
        <v>4.0262826086956522</v>
      </c>
      <c r="AR31" s="5">
        <f t="shared" si="15"/>
        <v>0.5905144419870586</v>
      </c>
      <c r="AS31" s="5">
        <f t="shared" si="16"/>
        <v>11.271721899597148</v>
      </c>
      <c r="AT31" s="5">
        <f t="shared" si="17"/>
        <v>11.271721899597148</v>
      </c>
      <c r="AU31" s="5">
        <f t="shared" si="18"/>
        <v>2.643349468649363</v>
      </c>
      <c r="AZ31" t="s">
        <v>260</v>
      </c>
      <c r="BA31">
        <v>30</v>
      </c>
    </row>
    <row r="32" spans="1:56">
      <c r="A32" s="1">
        <v>9</v>
      </c>
      <c r="B32" t="s">
        <v>112</v>
      </c>
      <c r="C32" t="s">
        <v>117</v>
      </c>
      <c r="D32">
        <v>34</v>
      </c>
      <c r="E32">
        <v>4</v>
      </c>
      <c r="F32">
        <v>5</v>
      </c>
      <c r="G32">
        <v>0.44400000000000001</v>
      </c>
      <c r="H32">
        <v>5.37</v>
      </c>
      <c r="I32">
        <v>20</v>
      </c>
      <c r="J32">
        <v>7</v>
      </c>
      <c r="K32">
        <v>8</v>
      </c>
      <c r="L32">
        <v>0</v>
      </c>
      <c r="M32">
        <v>0</v>
      </c>
      <c r="N32">
        <v>2</v>
      </c>
      <c r="O32">
        <v>65.099999999999994</v>
      </c>
      <c r="P32">
        <v>72</v>
      </c>
      <c r="Q32">
        <v>42</v>
      </c>
      <c r="R32">
        <v>39</v>
      </c>
      <c r="S32">
        <v>10</v>
      </c>
      <c r="T32">
        <v>28</v>
      </c>
      <c r="U32">
        <v>3</v>
      </c>
      <c r="V32">
        <v>66</v>
      </c>
      <c r="W32">
        <v>6</v>
      </c>
      <c r="X32">
        <v>0</v>
      </c>
      <c r="Y32">
        <v>4</v>
      </c>
      <c r="Z32">
        <v>294</v>
      </c>
      <c r="AA32">
        <v>75</v>
      </c>
      <c r="AB32">
        <v>4.3</v>
      </c>
      <c r="AC32">
        <v>1.5309999999999999</v>
      </c>
      <c r="AD32">
        <v>9.9</v>
      </c>
      <c r="AE32">
        <v>1.4</v>
      </c>
      <c r="AF32">
        <v>3.9</v>
      </c>
      <c r="AG32">
        <v>9.1</v>
      </c>
      <c r="AH32">
        <v>2.36</v>
      </c>
      <c r="AI32" t="s">
        <v>118</v>
      </c>
      <c r="AK32" s="6">
        <f t="shared" si="9"/>
        <v>5.9149401031665336</v>
      </c>
      <c r="AL32" s="5">
        <f t="shared" si="10"/>
        <v>2.2847334129045933</v>
      </c>
      <c r="AM32" s="5">
        <f t="shared" si="11"/>
        <v>2.9999999999999996</v>
      </c>
      <c r="AN32">
        <v>0</v>
      </c>
      <c r="AO32">
        <f t="shared" si="12"/>
        <v>6</v>
      </c>
      <c r="AP32" s="6">
        <f t="shared" si="13"/>
        <v>6.0915806451612902</v>
      </c>
      <c r="AQ32" s="6">
        <f t="shared" si="14"/>
        <v>5.5315806451612897</v>
      </c>
      <c r="AR32" s="5">
        <f t="shared" si="15"/>
        <v>-0.11776036132983769</v>
      </c>
      <c r="AS32" s="5">
        <f t="shared" si="16"/>
        <v>5.1669730515747556</v>
      </c>
      <c r="AT32" s="5">
        <f t="shared" si="17"/>
        <v>5.1669730515747556</v>
      </c>
      <c r="AU32" s="5">
        <f t="shared" si="18"/>
        <v>1.211715085952737</v>
      </c>
      <c r="AZ32" t="s">
        <v>253</v>
      </c>
      <c r="BA32" s="3">
        <f>BA31/BD29</f>
        <v>55.55211883685476</v>
      </c>
    </row>
    <row r="33" spans="1:53">
      <c r="A33" s="1">
        <v>10</v>
      </c>
      <c r="B33" t="s">
        <v>112</v>
      </c>
      <c r="C33" t="s">
        <v>119</v>
      </c>
      <c r="D33">
        <v>29</v>
      </c>
      <c r="E33">
        <v>4</v>
      </c>
      <c r="F33">
        <v>1</v>
      </c>
      <c r="G33">
        <v>0.8</v>
      </c>
      <c r="H33">
        <v>1.62</v>
      </c>
      <c r="I33">
        <v>23</v>
      </c>
      <c r="J33">
        <v>0</v>
      </c>
      <c r="K33">
        <v>17</v>
      </c>
      <c r="L33">
        <v>0</v>
      </c>
      <c r="M33">
        <v>0</v>
      </c>
      <c r="N33">
        <v>8</v>
      </c>
      <c r="O33">
        <v>39</v>
      </c>
      <c r="P33">
        <v>30</v>
      </c>
      <c r="Q33">
        <v>7</v>
      </c>
      <c r="R33">
        <v>7</v>
      </c>
      <c r="S33">
        <v>1</v>
      </c>
      <c r="T33">
        <v>19</v>
      </c>
      <c r="U33">
        <v>5</v>
      </c>
      <c r="V33">
        <v>28</v>
      </c>
      <c r="W33">
        <v>0</v>
      </c>
      <c r="X33">
        <v>0</v>
      </c>
      <c r="Y33">
        <v>0</v>
      </c>
      <c r="Z33">
        <v>160</v>
      </c>
      <c r="AA33">
        <v>250</v>
      </c>
      <c r="AB33">
        <v>3.13</v>
      </c>
      <c r="AC33">
        <v>1.256</v>
      </c>
      <c r="AD33">
        <v>6.9</v>
      </c>
      <c r="AE33">
        <v>0.2</v>
      </c>
      <c r="AF33">
        <v>4.4000000000000004</v>
      </c>
      <c r="AG33">
        <v>6.5</v>
      </c>
      <c r="AH33">
        <v>1.47</v>
      </c>
      <c r="AI33" t="s">
        <v>120</v>
      </c>
      <c r="AK33" s="6">
        <f t="shared" si="9"/>
        <v>5.9149401031665336</v>
      </c>
      <c r="AL33" s="5">
        <f t="shared" si="10"/>
        <v>18.631407113721647</v>
      </c>
      <c r="AM33" s="5">
        <f t="shared" si="11"/>
        <v>6.333333333333333</v>
      </c>
      <c r="AN33">
        <v>0</v>
      </c>
      <c r="AO33">
        <f t="shared" si="12"/>
        <v>24</v>
      </c>
      <c r="AP33" s="6">
        <f t="shared" si="13"/>
        <v>3.0948835817307692</v>
      </c>
      <c r="AQ33" s="6">
        <f t="shared" si="14"/>
        <v>2.5348835817307691</v>
      </c>
      <c r="AR33" s="5">
        <f t="shared" si="15"/>
        <v>7.5201507238287046</v>
      </c>
      <c r="AS33" s="5">
        <f t="shared" si="16"/>
        <v>32.484891170883685</v>
      </c>
      <c r="AT33" s="5">
        <f t="shared" si="17"/>
        <v>32.484891170883685</v>
      </c>
      <c r="AU33" s="5">
        <f t="shared" si="18"/>
        <v>7.6180836060865484</v>
      </c>
      <c r="AV33">
        <v>7.6</v>
      </c>
      <c r="AZ33" t="s">
        <v>261</v>
      </c>
      <c r="BA33" s="3">
        <f>BA32/(1-0.697)</f>
        <v>183.34032619424011</v>
      </c>
    </row>
    <row r="34" spans="1:53">
      <c r="A34" s="1">
        <v>11</v>
      </c>
      <c r="C34" t="s">
        <v>121</v>
      </c>
      <c r="D34">
        <v>32</v>
      </c>
      <c r="E34">
        <v>1</v>
      </c>
      <c r="F34">
        <v>2</v>
      </c>
      <c r="G34">
        <v>0.33300000000000002</v>
      </c>
      <c r="H34">
        <v>7.06</v>
      </c>
      <c r="I34">
        <v>13</v>
      </c>
      <c r="J34">
        <v>1</v>
      </c>
      <c r="K34">
        <v>5</v>
      </c>
      <c r="L34">
        <v>0</v>
      </c>
      <c r="M34">
        <v>0</v>
      </c>
      <c r="N34">
        <v>0</v>
      </c>
      <c r="O34">
        <v>29.1</v>
      </c>
      <c r="P34">
        <v>33</v>
      </c>
      <c r="Q34">
        <v>26</v>
      </c>
      <c r="R34">
        <v>23</v>
      </c>
      <c r="S34">
        <v>9</v>
      </c>
      <c r="T34">
        <v>13</v>
      </c>
      <c r="U34">
        <v>4</v>
      </c>
      <c r="V34">
        <v>13</v>
      </c>
      <c r="W34">
        <v>0</v>
      </c>
      <c r="X34">
        <v>0</v>
      </c>
      <c r="Y34">
        <v>2</v>
      </c>
      <c r="Z34">
        <v>131</v>
      </c>
      <c r="AA34">
        <v>57</v>
      </c>
      <c r="AB34">
        <v>7.2</v>
      </c>
      <c r="AC34">
        <v>1.5680000000000001</v>
      </c>
      <c r="AD34">
        <v>10.1</v>
      </c>
      <c r="AE34">
        <v>2.8</v>
      </c>
      <c r="AF34">
        <v>4</v>
      </c>
      <c r="AG34">
        <v>4</v>
      </c>
      <c r="AH34">
        <v>1</v>
      </c>
      <c r="AI34" t="s">
        <v>122</v>
      </c>
      <c r="AK34" s="6">
        <f t="shared" si="9"/>
        <v>5.9149401031665336</v>
      </c>
      <c r="AL34" s="5">
        <f t="shared" si="10"/>
        <v>-5.3750269997615412</v>
      </c>
      <c r="AM34" s="5">
        <f t="shared" si="11"/>
        <v>0.33333333333333337</v>
      </c>
      <c r="AN34">
        <v>1</v>
      </c>
      <c r="AO34">
        <f t="shared" si="12"/>
        <v>1</v>
      </c>
      <c r="AP34" s="6">
        <f t="shared" si="13"/>
        <v>6.9382060281734477</v>
      </c>
      <c r="AQ34" s="6">
        <f t="shared" si="14"/>
        <v>6.3782060281734481</v>
      </c>
      <c r="AR34" s="5">
        <f t="shared" si="15"/>
        <v>-0.11369621388965712</v>
      </c>
      <c r="AS34" s="5">
        <f t="shared" si="16"/>
        <v>-5.1553898803178653</v>
      </c>
      <c r="AT34" s="5">
        <f t="shared" si="17"/>
        <v>0</v>
      </c>
      <c r="AU34" s="5">
        <f t="shared" si="18"/>
        <v>0</v>
      </c>
    </row>
    <row r="35" spans="1:53">
      <c r="A35" s="1">
        <v>12</v>
      </c>
      <c r="C35" t="s">
        <v>123</v>
      </c>
      <c r="D35">
        <v>36</v>
      </c>
      <c r="E35">
        <v>1</v>
      </c>
      <c r="F35">
        <v>2</v>
      </c>
      <c r="G35">
        <v>0.33300000000000002</v>
      </c>
      <c r="H35">
        <v>4.4000000000000004</v>
      </c>
      <c r="I35">
        <v>17</v>
      </c>
      <c r="J35">
        <v>0</v>
      </c>
      <c r="K35">
        <v>6</v>
      </c>
      <c r="L35">
        <v>0</v>
      </c>
      <c r="M35">
        <v>0</v>
      </c>
      <c r="N35">
        <v>0</v>
      </c>
      <c r="O35">
        <v>28.2</v>
      </c>
      <c r="P35">
        <v>30</v>
      </c>
      <c r="Q35">
        <v>16</v>
      </c>
      <c r="R35">
        <v>14</v>
      </c>
      <c r="S35">
        <v>4</v>
      </c>
      <c r="T35">
        <v>11</v>
      </c>
      <c r="U35">
        <v>1</v>
      </c>
      <c r="V35">
        <v>18</v>
      </c>
      <c r="W35">
        <v>0</v>
      </c>
      <c r="X35">
        <v>0</v>
      </c>
      <c r="Y35">
        <v>3</v>
      </c>
      <c r="Z35">
        <v>127</v>
      </c>
      <c r="AA35">
        <v>92</v>
      </c>
      <c r="AB35">
        <v>4.4800000000000004</v>
      </c>
      <c r="AC35">
        <v>1.43</v>
      </c>
      <c r="AD35">
        <v>9.4</v>
      </c>
      <c r="AE35">
        <v>1.3</v>
      </c>
      <c r="AF35">
        <v>3.5</v>
      </c>
      <c r="AG35">
        <v>5.7</v>
      </c>
      <c r="AH35">
        <v>1.64</v>
      </c>
      <c r="AI35" t="s">
        <v>124</v>
      </c>
      <c r="AK35" s="6">
        <f t="shared" si="9"/>
        <v>5.9149401031665336</v>
      </c>
      <c r="AL35" s="5">
        <f t="shared" si="10"/>
        <v>3.5334789899218038</v>
      </c>
      <c r="AM35" s="5">
        <f t="shared" si="11"/>
        <v>0.33333333333333337</v>
      </c>
      <c r="AN35">
        <v>2</v>
      </c>
      <c r="AO35">
        <f t="shared" si="12"/>
        <v>2</v>
      </c>
      <c r="AP35" s="6">
        <f t="shared" si="13"/>
        <v>5.0362925950745518</v>
      </c>
      <c r="AQ35" s="6">
        <f t="shared" si="14"/>
        <v>4.4762925950745522</v>
      </c>
      <c r="AR35" s="5">
        <f t="shared" si="15"/>
        <v>0.19525500179821817</v>
      </c>
      <c r="AS35" s="5">
        <f t="shared" si="16"/>
        <v>4.0620673250533557</v>
      </c>
      <c r="AT35" s="5">
        <f t="shared" si="17"/>
        <v>4.0620673250533557</v>
      </c>
      <c r="AU35" s="5">
        <f t="shared" si="18"/>
        <v>0.95260188291919123</v>
      </c>
    </row>
    <row r="36" spans="1:53">
      <c r="A36" s="1">
        <v>13</v>
      </c>
      <c r="C36" t="s">
        <v>125</v>
      </c>
      <c r="D36">
        <v>37</v>
      </c>
      <c r="E36">
        <v>1</v>
      </c>
      <c r="F36">
        <v>1</v>
      </c>
      <c r="G36">
        <v>0.5</v>
      </c>
      <c r="H36">
        <v>2.2000000000000002</v>
      </c>
      <c r="I36">
        <v>2</v>
      </c>
      <c r="J36">
        <v>2</v>
      </c>
      <c r="K36">
        <v>0</v>
      </c>
      <c r="L36">
        <v>1</v>
      </c>
      <c r="M36">
        <v>0</v>
      </c>
      <c r="N36">
        <v>0</v>
      </c>
      <c r="O36">
        <v>16.100000000000001</v>
      </c>
      <c r="P36">
        <v>14</v>
      </c>
      <c r="Q36">
        <v>4</v>
      </c>
      <c r="R36">
        <v>4</v>
      </c>
      <c r="S36">
        <v>2</v>
      </c>
      <c r="T36">
        <v>3</v>
      </c>
      <c r="U36">
        <v>0</v>
      </c>
      <c r="V36">
        <v>10</v>
      </c>
      <c r="W36">
        <v>0</v>
      </c>
      <c r="X36">
        <v>0</v>
      </c>
      <c r="Y36">
        <v>0</v>
      </c>
      <c r="Z36">
        <v>62</v>
      </c>
      <c r="AA36">
        <v>186</v>
      </c>
      <c r="AB36">
        <v>3.69</v>
      </c>
      <c r="AC36">
        <v>1.0409999999999999</v>
      </c>
      <c r="AD36">
        <v>7.7</v>
      </c>
      <c r="AE36">
        <v>1.1000000000000001</v>
      </c>
      <c r="AF36">
        <v>1.7</v>
      </c>
      <c r="AG36">
        <v>5.5</v>
      </c>
      <c r="AH36">
        <v>3.33</v>
      </c>
      <c r="AI36" t="s">
        <v>126</v>
      </c>
      <c r="AK36" s="6">
        <f t="shared" si="9"/>
        <v>5.9149401031665336</v>
      </c>
      <c r="AL36" s="5">
        <f t="shared" si="10"/>
        <v>6.5811706289979117</v>
      </c>
      <c r="AM36" s="5">
        <f t="shared" si="11"/>
        <v>0.66666666666666674</v>
      </c>
      <c r="AN36">
        <v>0</v>
      </c>
      <c r="AO36">
        <f t="shared" si="12"/>
        <v>0</v>
      </c>
      <c r="AP36" s="6">
        <f t="shared" si="13"/>
        <v>3.4032460428771785</v>
      </c>
      <c r="AQ36" s="6">
        <f t="shared" si="14"/>
        <v>2.8432460428771784</v>
      </c>
      <c r="AR36" s="5">
        <f t="shared" si="15"/>
        <v>0</v>
      </c>
      <c r="AS36" s="5">
        <f t="shared" si="16"/>
        <v>7.2478372956645787</v>
      </c>
      <c r="AT36" s="5">
        <f t="shared" si="17"/>
        <v>7.2478372956645787</v>
      </c>
      <c r="AU36" s="5">
        <f t="shared" si="18"/>
        <v>1.6997018765195695</v>
      </c>
    </row>
    <row r="37" spans="1:53">
      <c r="A37" s="1">
        <v>14</v>
      </c>
      <c r="C37" t="s">
        <v>127</v>
      </c>
      <c r="D37">
        <v>27</v>
      </c>
      <c r="E37">
        <v>0</v>
      </c>
      <c r="F37">
        <v>1</v>
      </c>
      <c r="G37">
        <v>0</v>
      </c>
      <c r="H37">
        <v>9</v>
      </c>
      <c r="I37">
        <v>3</v>
      </c>
      <c r="J37">
        <v>3</v>
      </c>
      <c r="K37">
        <v>0</v>
      </c>
      <c r="L37">
        <v>0</v>
      </c>
      <c r="M37">
        <v>0</v>
      </c>
      <c r="N37">
        <v>0</v>
      </c>
      <c r="O37">
        <v>11</v>
      </c>
      <c r="P37">
        <v>16</v>
      </c>
      <c r="Q37">
        <v>13</v>
      </c>
      <c r="R37">
        <v>11</v>
      </c>
      <c r="S37">
        <v>0</v>
      </c>
      <c r="T37">
        <v>9</v>
      </c>
      <c r="U37">
        <v>1</v>
      </c>
      <c r="V37">
        <v>5</v>
      </c>
      <c r="W37">
        <v>0</v>
      </c>
      <c r="X37">
        <v>0</v>
      </c>
      <c r="Y37">
        <v>1</v>
      </c>
      <c r="Z37">
        <v>57</v>
      </c>
      <c r="AA37">
        <v>46</v>
      </c>
      <c r="AB37">
        <v>4.3099999999999996</v>
      </c>
      <c r="AC37">
        <v>2.2730000000000001</v>
      </c>
      <c r="AD37">
        <v>13.1</v>
      </c>
      <c r="AE37">
        <v>0</v>
      </c>
      <c r="AF37">
        <v>7.4</v>
      </c>
      <c r="AG37">
        <v>4.0999999999999996</v>
      </c>
      <c r="AH37">
        <v>0.56000000000000005</v>
      </c>
      <c r="AI37" t="s">
        <v>128</v>
      </c>
      <c r="AK37" s="6">
        <f t="shared" si="9"/>
        <v>5.9149401031665336</v>
      </c>
      <c r="AL37" s="5">
        <f t="shared" si="10"/>
        <v>-4.7706287627964592</v>
      </c>
      <c r="AM37" s="5">
        <f t="shared" si="11"/>
        <v>-0.33333333333333331</v>
      </c>
      <c r="AN37">
        <v>0</v>
      </c>
      <c r="AO37">
        <f t="shared" si="12"/>
        <v>0</v>
      </c>
      <c r="AP37" s="6">
        <f t="shared" si="13"/>
        <v>8.0207655502392345</v>
      </c>
      <c r="AQ37" s="6">
        <f t="shared" si="14"/>
        <v>7.460765550239234</v>
      </c>
      <c r="AR37" s="5">
        <f t="shared" si="15"/>
        <v>0</v>
      </c>
      <c r="AS37" s="5">
        <f t="shared" si="16"/>
        <v>-5.1039620961297922</v>
      </c>
      <c r="AT37" s="5">
        <f t="shared" si="17"/>
        <v>0</v>
      </c>
      <c r="AU37" s="5">
        <f t="shared" si="18"/>
        <v>0</v>
      </c>
    </row>
    <row r="38" spans="1:53">
      <c r="A38" s="1">
        <v>15</v>
      </c>
      <c r="C38" t="s">
        <v>129</v>
      </c>
      <c r="D38">
        <v>33</v>
      </c>
      <c r="E38">
        <v>0</v>
      </c>
      <c r="F38">
        <v>1</v>
      </c>
      <c r="G38">
        <v>0</v>
      </c>
      <c r="H38">
        <v>10.8</v>
      </c>
      <c r="I38">
        <v>2</v>
      </c>
      <c r="J38">
        <v>1</v>
      </c>
      <c r="K38">
        <v>0</v>
      </c>
      <c r="L38">
        <v>0</v>
      </c>
      <c r="M38">
        <v>0</v>
      </c>
      <c r="N38">
        <v>0</v>
      </c>
      <c r="O38">
        <v>5</v>
      </c>
      <c r="P38">
        <v>8</v>
      </c>
      <c r="Q38">
        <v>6</v>
      </c>
      <c r="R38">
        <v>6</v>
      </c>
      <c r="S38">
        <v>3</v>
      </c>
      <c r="T38">
        <v>0</v>
      </c>
      <c r="U38">
        <v>0</v>
      </c>
      <c r="V38">
        <v>2</v>
      </c>
      <c r="W38">
        <v>0</v>
      </c>
      <c r="X38">
        <v>0</v>
      </c>
      <c r="Y38">
        <v>0</v>
      </c>
      <c r="Z38">
        <v>23</v>
      </c>
      <c r="AA38">
        <v>40</v>
      </c>
      <c r="AB38">
        <v>9.77</v>
      </c>
      <c r="AC38">
        <v>1.6</v>
      </c>
      <c r="AD38">
        <v>14.4</v>
      </c>
      <c r="AE38">
        <v>5.4</v>
      </c>
      <c r="AF38">
        <v>0</v>
      </c>
      <c r="AG38">
        <v>3.6</v>
      </c>
      <c r="AI38" t="s">
        <v>130</v>
      </c>
      <c r="AK38" s="6">
        <f t="shared" si="9"/>
        <v>5.9149401031665336</v>
      </c>
      <c r="AL38" s="5">
        <f t="shared" si="10"/>
        <v>-2.7139221649074816</v>
      </c>
      <c r="AM38" s="5">
        <f t="shared" si="11"/>
        <v>-0.33333333333333331</v>
      </c>
      <c r="AN38">
        <v>1</v>
      </c>
      <c r="AO38">
        <f t="shared" si="12"/>
        <v>1</v>
      </c>
      <c r="AP38" s="6">
        <f t="shared" si="13"/>
        <v>10.183147826086955</v>
      </c>
      <c r="AQ38" s="6">
        <f t="shared" si="14"/>
        <v>9.6231478260869547</v>
      </c>
      <c r="AR38" s="5">
        <f t="shared" si="15"/>
        <v>-0.47424530254671349</v>
      </c>
      <c r="AS38" s="5">
        <f t="shared" si="16"/>
        <v>-3.5215008007875284</v>
      </c>
      <c r="AT38" s="5">
        <f t="shared" si="17"/>
        <v>0</v>
      </c>
      <c r="AU38" s="5">
        <f t="shared" si="18"/>
        <v>0</v>
      </c>
    </row>
    <row r="39" spans="1:53">
      <c r="A39" s="1">
        <v>16</v>
      </c>
      <c r="C39" t="s">
        <v>131</v>
      </c>
      <c r="D39">
        <v>27</v>
      </c>
      <c r="E39">
        <v>0</v>
      </c>
      <c r="F39">
        <v>1</v>
      </c>
      <c r="G39">
        <v>0</v>
      </c>
      <c r="H39">
        <v>16.88</v>
      </c>
      <c r="I39">
        <v>1</v>
      </c>
      <c r="J39">
        <v>1</v>
      </c>
      <c r="K39">
        <v>0</v>
      </c>
      <c r="L39">
        <v>0</v>
      </c>
      <c r="M39">
        <v>0</v>
      </c>
      <c r="N39">
        <v>0</v>
      </c>
      <c r="O39">
        <v>2.2000000000000002</v>
      </c>
      <c r="P39">
        <v>6</v>
      </c>
      <c r="Q39">
        <v>5</v>
      </c>
      <c r="R39">
        <v>5</v>
      </c>
      <c r="S39">
        <v>0</v>
      </c>
      <c r="T39">
        <v>2</v>
      </c>
      <c r="U39">
        <v>1</v>
      </c>
      <c r="V39">
        <v>2</v>
      </c>
      <c r="W39">
        <v>0</v>
      </c>
      <c r="X39">
        <v>0</v>
      </c>
      <c r="Y39">
        <v>0</v>
      </c>
      <c r="Z39">
        <v>14</v>
      </c>
      <c r="AA39">
        <v>27</v>
      </c>
      <c r="AB39">
        <v>3.52</v>
      </c>
      <c r="AC39">
        <v>3</v>
      </c>
      <c r="AD39">
        <v>20.3</v>
      </c>
      <c r="AE39">
        <v>0</v>
      </c>
      <c r="AF39">
        <v>6.8</v>
      </c>
      <c r="AG39">
        <v>6.8</v>
      </c>
      <c r="AH39">
        <v>1</v>
      </c>
      <c r="AI39" t="s">
        <v>132</v>
      </c>
      <c r="AK39" s="6">
        <f t="shared" si="9"/>
        <v>5.9149401031665336</v>
      </c>
      <c r="AL39" s="5">
        <f t="shared" si="10"/>
        <v>-3.5541257525592913</v>
      </c>
      <c r="AM39" s="5">
        <f t="shared" si="11"/>
        <v>-0.33333333333333331</v>
      </c>
      <c r="AN39">
        <v>0</v>
      </c>
      <c r="AO39">
        <f t="shared" si="12"/>
        <v>0</v>
      </c>
      <c r="AP39" s="6">
        <f t="shared" si="13"/>
        <v>16.975402597402592</v>
      </c>
      <c r="AQ39" s="6">
        <f t="shared" si="14"/>
        <v>16.415402597402593</v>
      </c>
      <c r="AR39" s="5">
        <f t="shared" si="15"/>
        <v>0</v>
      </c>
      <c r="AS39" s="5">
        <f t="shared" si="16"/>
        <v>-3.8874590858926248</v>
      </c>
      <c r="AT39" s="5">
        <f t="shared" si="17"/>
        <v>0</v>
      </c>
      <c r="AU39" s="5">
        <f t="shared" si="18"/>
        <v>0</v>
      </c>
    </row>
    <row r="40" spans="1:53">
      <c r="A40" s="1">
        <v>17</v>
      </c>
      <c r="C40" t="s">
        <v>133</v>
      </c>
      <c r="D40">
        <v>27</v>
      </c>
      <c r="E40">
        <v>0</v>
      </c>
      <c r="F40">
        <v>0</v>
      </c>
      <c r="H40">
        <v>13.5</v>
      </c>
      <c r="I40">
        <v>1</v>
      </c>
      <c r="J40">
        <v>0</v>
      </c>
      <c r="K40">
        <v>1</v>
      </c>
      <c r="L40">
        <v>0</v>
      </c>
      <c r="M40">
        <v>0</v>
      </c>
      <c r="N40">
        <v>0</v>
      </c>
      <c r="O40">
        <v>2</v>
      </c>
      <c r="P40">
        <v>3</v>
      </c>
      <c r="Q40">
        <v>3</v>
      </c>
      <c r="R40">
        <v>3</v>
      </c>
      <c r="S40">
        <v>0</v>
      </c>
      <c r="T40">
        <v>1</v>
      </c>
      <c r="U40">
        <v>1</v>
      </c>
      <c r="V40">
        <v>1</v>
      </c>
      <c r="W40">
        <v>0</v>
      </c>
      <c r="X40">
        <v>0</v>
      </c>
      <c r="Y40">
        <v>0</v>
      </c>
      <c r="Z40">
        <v>10</v>
      </c>
      <c r="AA40">
        <v>35</v>
      </c>
      <c r="AB40">
        <v>3.27</v>
      </c>
      <c r="AC40">
        <v>2</v>
      </c>
      <c r="AD40">
        <v>13.5</v>
      </c>
      <c r="AE40">
        <v>0</v>
      </c>
      <c r="AF40">
        <v>4.5</v>
      </c>
      <c r="AG40">
        <v>4.5</v>
      </c>
      <c r="AH40">
        <v>1</v>
      </c>
      <c r="AI40" t="s">
        <v>134</v>
      </c>
      <c r="AK40" s="6">
        <f t="shared" si="9"/>
        <v>5.9149401031665336</v>
      </c>
      <c r="AL40" s="5">
        <f t="shared" si="10"/>
        <v>-1.6855688659629926</v>
      </c>
      <c r="AM40" s="5">
        <f t="shared" si="11"/>
        <v>0</v>
      </c>
      <c r="AN40">
        <v>0</v>
      </c>
      <c r="AO40">
        <f t="shared" si="12"/>
        <v>0</v>
      </c>
      <c r="AP40" s="6">
        <f t="shared" si="13"/>
        <v>6.0315299999999992</v>
      </c>
      <c r="AQ40" s="6">
        <f t="shared" si="14"/>
        <v>5.4715299999999996</v>
      </c>
      <c r="AR40" s="5">
        <f t="shared" si="15"/>
        <v>0</v>
      </c>
      <c r="AS40" s="5">
        <f t="shared" si="16"/>
        <v>-1.6855688659629926</v>
      </c>
      <c r="AT40" s="5">
        <f t="shared" si="17"/>
        <v>0</v>
      </c>
      <c r="AU40" s="5">
        <f t="shared" si="18"/>
        <v>0</v>
      </c>
    </row>
    <row r="41" spans="1:53">
      <c r="A41" s="1">
        <v>18</v>
      </c>
      <c r="C41" t="s">
        <v>135</v>
      </c>
      <c r="D41">
        <v>26</v>
      </c>
      <c r="E41">
        <v>0</v>
      </c>
      <c r="F41">
        <v>0</v>
      </c>
      <c r="H41">
        <v>18</v>
      </c>
      <c r="I41">
        <v>1</v>
      </c>
      <c r="J41">
        <v>0</v>
      </c>
      <c r="K41">
        <v>1</v>
      </c>
      <c r="L41">
        <v>0</v>
      </c>
      <c r="M41">
        <v>0</v>
      </c>
      <c r="N41">
        <v>0</v>
      </c>
      <c r="O41">
        <v>1</v>
      </c>
      <c r="P41">
        <v>4</v>
      </c>
      <c r="Q41">
        <v>2</v>
      </c>
      <c r="R41">
        <v>2</v>
      </c>
      <c r="S41">
        <v>1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7</v>
      </c>
      <c r="AA41">
        <v>31</v>
      </c>
      <c r="AB41">
        <v>15.77</v>
      </c>
      <c r="AC41">
        <v>4</v>
      </c>
      <c r="AD41">
        <v>36</v>
      </c>
      <c r="AE41">
        <v>9</v>
      </c>
      <c r="AF41">
        <v>0</v>
      </c>
      <c r="AG41">
        <v>0</v>
      </c>
      <c r="AI41" t="s">
        <v>136</v>
      </c>
      <c r="AK41" s="6">
        <f t="shared" si="9"/>
        <v>5.9149401031665336</v>
      </c>
      <c r="AL41" s="5">
        <f t="shared" si="10"/>
        <v>-1.3427844329814964</v>
      </c>
      <c r="AM41" s="5">
        <f t="shared" si="11"/>
        <v>0</v>
      </c>
      <c r="AN41">
        <v>0</v>
      </c>
      <c r="AO41">
        <f t="shared" si="12"/>
        <v>0</v>
      </c>
      <c r="AP41" s="6">
        <f t="shared" si="13"/>
        <v>35.541514285714285</v>
      </c>
      <c r="AQ41" s="6">
        <f t="shared" si="14"/>
        <v>34.981514285714283</v>
      </c>
      <c r="AR41" s="5">
        <f t="shared" si="15"/>
        <v>0</v>
      </c>
      <c r="AS41" s="5">
        <f t="shared" si="16"/>
        <v>-1.3427844329814964</v>
      </c>
      <c r="AT41" s="5">
        <f t="shared" si="17"/>
        <v>0</v>
      </c>
      <c r="AU41" s="5">
        <f t="shared" si="18"/>
        <v>0</v>
      </c>
    </row>
    <row r="42" spans="1:53">
      <c r="E42">
        <f>SUM(E24:E41)</f>
        <v>84</v>
      </c>
      <c r="F42">
        <f>SUM(F24:F41)</f>
        <v>78</v>
      </c>
      <c r="O42">
        <f>SUM(O24:O41)</f>
        <v>1454.4999999999998</v>
      </c>
      <c r="P42">
        <f>SUM(P24:P41)</f>
        <v>1505</v>
      </c>
      <c r="Q42">
        <f>SUM(Q24:Q41)</f>
        <v>667</v>
      </c>
      <c r="S42">
        <f t="shared" ref="S42:X42" si="19">SUM(S24:S41)</f>
        <v>122</v>
      </c>
      <c r="T42">
        <f t="shared" si="19"/>
        <v>474</v>
      </c>
      <c r="U42">
        <f t="shared" si="19"/>
        <v>59</v>
      </c>
      <c r="V42">
        <f t="shared" si="19"/>
        <v>754</v>
      </c>
      <c r="W42">
        <f t="shared" si="19"/>
        <v>27</v>
      </c>
      <c r="X42">
        <f t="shared" si="19"/>
        <v>3</v>
      </c>
      <c r="Z42">
        <f>SUM(Z24:Z41)</f>
        <v>6213</v>
      </c>
      <c r="AT42" s="5">
        <f>SUM(AT24:AT41)</f>
        <v>420.05058086805161</v>
      </c>
    </row>
    <row r="44" spans="1:53">
      <c r="C44" t="s">
        <v>137</v>
      </c>
    </row>
    <row r="45" spans="1:53">
      <c r="A45" s="1" t="s">
        <v>2</v>
      </c>
      <c r="B45" t="s">
        <v>3</v>
      </c>
      <c r="C45" t="s">
        <v>4</v>
      </c>
      <c r="D45" t="s">
        <v>80</v>
      </c>
      <c r="E45" t="s">
        <v>82</v>
      </c>
      <c r="F45" t="s">
        <v>138</v>
      </c>
      <c r="G45" t="s">
        <v>139</v>
      </c>
      <c r="H45" t="s">
        <v>140</v>
      </c>
      <c r="I45" t="s">
        <v>141</v>
      </c>
      <c r="J45" t="s">
        <v>142</v>
      </c>
      <c r="K45" t="s">
        <v>143</v>
      </c>
      <c r="L45" t="s">
        <v>144</v>
      </c>
      <c r="M45" t="s">
        <v>145</v>
      </c>
      <c r="N45" t="s">
        <v>146</v>
      </c>
      <c r="O45" t="s">
        <v>147</v>
      </c>
      <c r="P45" t="s">
        <v>148</v>
      </c>
      <c r="Q45" t="s">
        <v>149</v>
      </c>
      <c r="R45" t="s">
        <v>150</v>
      </c>
      <c r="S45" t="s">
        <v>88</v>
      </c>
      <c r="T45" t="s">
        <v>13</v>
      </c>
      <c r="U45" t="s">
        <v>14</v>
      </c>
      <c r="V45" t="s">
        <v>151</v>
      </c>
      <c r="W45" t="s">
        <v>28</v>
      </c>
      <c r="AC45" t="s">
        <v>219</v>
      </c>
      <c r="AD45" t="s">
        <v>221</v>
      </c>
      <c r="AE45" t="s">
        <v>222</v>
      </c>
    </row>
    <row r="46" spans="1:53">
      <c r="A46" s="1" t="s">
        <v>152</v>
      </c>
      <c r="B46">
        <v>36</v>
      </c>
      <c r="C46">
        <v>137</v>
      </c>
      <c r="D46">
        <v>133</v>
      </c>
      <c r="E46">
        <v>114</v>
      </c>
      <c r="F46">
        <v>1181.0999999999999</v>
      </c>
      <c r="G46">
        <v>743</v>
      </c>
      <c r="H46">
        <v>660</v>
      </c>
      <c r="I46">
        <v>71</v>
      </c>
      <c r="J46">
        <v>12</v>
      </c>
      <c r="K46">
        <v>10</v>
      </c>
      <c r="L46">
        <v>0.98399999999999999</v>
      </c>
      <c r="M46">
        <v>6</v>
      </c>
      <c r="N46">
        <v>6</v>
      </c>
      <c r="O46">
        <v>6</v>
      </c>
      <c r="P46">
        <v>5.57</v>
      </c>
      <c r="Q46">
        <v>5.34</v>
      </c>
      <c r="R46">
        <v>4</v>
      </c>
      <c r="S46">
        <v>37</v>
      </c>
      <c r="T46">
        <v>52</v>
      </c>
      <c r="U46">
        <v>40</v>
      </c>
      <c r="V46" s="2">
        <v>0.43</v>
      </c>
      <c r="W46" t="s">
        <v>31</v>
      </c>
      <c r="AC46" t="s">
        <v>220</v>
      </c>
      <c r="AD46">
        <f>O42</f>
        <v>1454.4999999999998</v>
      </c>
      <c r="AE46">
        <v>20280</v>
      </c>
    </row>
    <row r="47" spans="1:53">
      <c r="A47" s="1" t="s">
        <v>153</v>
      </c>
      <c r="B47">
        <v>28</v>
      </c>
      <c r="C47">
        <v>46</v>
      </c>
      <c r="D47">
        <v>29</v>
      </c>
      <c r="E47">
        <v>24</v>
      </c>
      <c r="F47">
        <v>276.2</v>
      </c>
      <c r="G47">
        <v>157</v>
      </c>
      <c r="H47">
        <v>146</v>
      </c>
      <c r="I47">
        <v>10</v>
      </c>
      <c r="J47">
        <v>1</v>
      </c>
      <c r="K47">
        <v>1</v>
      </c>
      <c r="L47">
        <v>0.99399999999999999</v>
      </c>
      <c r="M47">
        <v>0</v>
      </c>
      <c r="N47">
        <v>0</v>
      </c>
      <c r="O47">
        <v>0</v>
      </c>
      <c r="P47">
        <v>5.07</v>
      </c>
      <c r="Q47">
        <v>3.39</v>
      </c>
      <c r="R47">
        <v>0</v>
      </c>
      <c r="S47">
        <v>7</v>
      </c>
      <c r="T47">
        <v>19</v>
      </c>
      <c r="U47">
        <v>9</v>
      </c>
      <c r="V47" s="2">
        <v>0.32</v>
      </c>
      <c r="W47" t="s">
        <v>64</v>
      </c>
      <c r="AC47" t="s">
        <v>223</v>
      </c>
      <c r="AD47">
        <f>P42</f>
        <v>1505</v>
      </c>
      <c r="AE47">
        <v>20539</v>
      </c>
    </row>
    <row r="48" spans="1:53">
      <c r="J48">
        <f>SUM(J46:J47)</f>
        <v>13</v>
      </c>
      <c r="R48">
        <f>SUM(R46:R47)</f>
        <v>4</v>
      </c>
      <c r="S48">
        <f>SUM(S46:S47)</f>
        <v>44</v>
      </c>
      <c r="AC48" t="s">
        <v>11</v>
      </c>
      <c r="AD48">
        <f>S42</f>
        <v>122</v>
      </c>
      <c r="AE48">
        <v>1980</v>
      </c>
    </row>
    <row r="49" spans="1:31">
      <c r="C49" t="s">
        <v>154</v>
      </c>
      <c r="AC49" t="s">
        <v>15</v>
      </c>
      <c r="AD49">
        <f>T42</f>
        <v>474</v>
      </c>
      <c r="AE49">
        <v>7171</v>
      </c>
    </row>
    <row r="50" spans="1:31">
      <c r="A50" s="1" t="s">
        <v>2</v>
      </c>
      <c r="B50" t="s">
        <v>3</v>
      </c>
      <c r="C50" t="s">
        <v>4</v>
      </c>
      <c r="D50" t="s">
        <v>80</v>
      </c>
      <c r="E50" t="s">
        <v>82</v>
      </c>
      <c r="F50" t="s">
        <v>138</v>
      </c>
      <c r="G50" t="s">
        <v>139</v>
      </c>
      <c r="H50" t="s">
        <v>140</v>
      </c>
      <c r="I50" t="s">
        <v>141</v>
      </c>
      <c r="J50" t="s">
        <v>142</v>
      </c>
      <c r="K50" t="s">
        <v>143</v>
      </c>
      <c r="L50" t="s">
        <v>144</v>
      </c>
      <c r="M50" t="s">
        <v>145</v>
      </c>
      <c r="N50" t="s">
        <v>146</v>
      </c>
      <c r="O50" t="s">
        <v>155</v>
      </c>
      <c r="P50" t="s">
        <v>156</v>
      </c>
      <c r="Q50" t="s">
        <v>148</v>
      </c>
      <c r="R50" t="s">
        <v>149</v>
      </c>
      <c r="S50" t="s">
        <v>28</v>
      </c>
      <c r="AC50" t="s">
        <v>24</v>
      </c>
      <c r="AD50">
        <f>W42</f>
        <v>27</v>
      </c>
      <c r="AE50">
        <v>419</v>
      </c>
    </row>
    <row r="51" spans="1:31">
      <c r="A51" s="1" t="s">
        <v>157</v>
      </c>
      <c r="B51">
        <v>38</v>
      </c>
      <c r="C51">
        <v>83</v>
      </c>
      <c r="D51">
        <v>80</v>
      </c>
      <c r="E51">
        <v>68</v>
      </c>
      <c r="F51">
        <v>695.1</v>
      </c>
      <c r="G51">
        <v>798</v>
      </c>
      <c r="H51">
        <v>724</v>
      </c>
      <c r="I51">
        <v>59</v>
      </c>
      <c r="J51">
        <v>15</v>
      </c>
      <c r="K51">
        <v>73</v>
      </c>
      <c r="L51">
        <v>0.98099999999999998</v>
      </c>
      <c r="M51">
        <v>0</v>
      </c>
      <c r="N51">
        <v>1</v>
      </c>
      <c r="O51">
        <v>0</v>
      </c>
      <c r="P51">
        <v>0</v>
      </c>
      <c r="Q51">
        <v>10.130000000000001</v>
      </c>
      <c r="R51">
        <v>9.43</v>
      </c>
      <c r="S51" t="s">
        <v>34</v>
      </c>
      <c r="AC51" t="s">
        <v>25</v>
      </c>
      <c r="AD51">
        <v>48</v>
      </c>
      <c r="AE51">
        <v>626</v>
      </c>
    </row>
    <row r="52" spans="1:31">
      <c r="A52" s="1" t="s">
        <v>158</v>
      </c>
      <c r="B52">
        <v>25</v>
      </c>
      <c r="C52">
        <v>41</v>
      </c>
      <c r="D52">
        <v>38</v>
      </c>
      <c r="E52">
        <v>32</v>
      </c>
      <c r="F52">
        <v>336.2</v>
      </c>
      <c r="G52">
        <v>385</v>
      </c>
      <c r="H52">
        <v>355</v>
      </c>
      <c r="I52">
        <v>26</v>
      </c>
      <c r="J52">
        <v>4</v>
      </c>
      <c r="K52">
        <v>27</v>
      </c>
      <c r="L52">
        <v>0.99</v>
      </c>
      <c r="M52">
        <v>2</v>
      </c>
      <c r="N52">
        <v>7</v>
      </c>
      <c r="O52">
        <v>2</v>
      </c>
      <c r="P52">
        <v>0</v>
      </c>
      <c r="Q52">
        <v>10.19</v>
      </c>
      <c r="R52">
        <v>9.2899999999999991</v>
      </c>
      <c r="S52" t="s">
        <v>60</v>
      </c>
      <c r="AC52" t="s">
        <v>88</v>
      </c>
      <c r="AD52">
        <f>S48</f>
        <v>44</v>
      </c>
      <c r="AE52">
        <v>616</v>
      </c>
    </row>
    <row r="53" spans="1:31">
      <c r="A53" s="1" t="s">
        <v>159</v>
      </c>
      <c r="B53">
        <v>31</v>
      </c>
      <c r="C53">
        <v>21</v>
      </c>
      <c r="D53">
        <v>18</v>
      </c>
      <c r="E53">
        <v>17</v>
      </c>
      <c r="F53">
        <v>169</v>
      </c>
      <c r="G53">
        <v>201</v>
      </c>
      <c r="H53">
        <v>186</v>
      </c>
      <c r="I53">
        <v>13</v>
      </c>
      <c r="J53">
        <v>2</v>
      </c>
      <c r="K53">
        <v>17</v>
      </c>
      <c r="L53">
        <v>0.99</v>
      </c>
      <c r="M53">
        <v>-2</v>
      </c>
      <c r="N53">
        <v>-11</v>
      </c>
      <c r="O53">
        <v>-2</v>
      </c>
      <c r="P53">
        <v>0</v>
      </c>
      <c r="Q53">
        <v>10.6</v>
      </c>
      <c r="R53">
        <v>9.48</v>
      </c>
      <c r="S53" t="s">
        <v>68</v>
      </c>
      <c r="AC53" t="s">
        <v>224</v>
      </c>
      <c r="AD53">
        <f>X42</f>
        <v>3</v>
      </c>
      <c r="AE53">
        <v>100</v>
      </c>
    </row>
    <row r="54" spans="1:31">
      <c r="A54" s="1" t="s">
        <v>160</v>
      </c>
      <c r="B54">
        <v>35</v>
      </c>
      <c r="C54">
        <v>25</v>
      </c>
      <c r="D54">
        <v>10</v>
      </c>
      <c r="E54">
        <v>6</v>
      </c>
      <c r="F54">
        <v>109.2</v>
      </c>
      <c r="G54">
        <v>133</v>
      </c>
      <c r="H54">
        <v>120</v>
      </c>
      <c r="I54">
        <v>10</v>
      </c>
      <c r="J54">
        <v>3</v>
      </c>
      <c r="K54">
        <v>18</v>
      </c>
      <c r="L54">
        <v>0.97699999999999998</v>
      </c>
      <c r="M54">
        <v>0</v>
      </c>
      <c r="N54">
        <v>-1</v>
      </c>
      <c r="O54">
        <v>0</v>
      </c>
      <c r="P54">
        <v>0</v>
      </c>
      <c r="Q54">
        <v>10.67</v>
      </c>
      <c r="R54">
        <v>5.2</v>
      </c>
      <c r="S54" t="s">
        <v>36</v>
      </c>
      <c r="AC54" t="s">
        <v>150</v>
      </c>
      <c r="AD54">
        <f>R48</f>
        <v>4</v>
      </c>
      <c r="AE54">
        <v>148</v>
      </c>
    </row>
    <row r="55" spans="1:31">
      <c r="A55" s="1" t="s">
        <v>161</v>
      </c>
      <c r="B55">
        <v>26</v>
      </c>
      <c r="C55">
        <v>16</v>
      </c>
      <c r="D55">
        <v>13</v>
      </c>
      <c r="E55">
        <v>7</v>
      </c>
      <c r="F55">
        <v>108</v>
      </c>
      <c r="G55">
        <v>100</v>
      </c>
      <c r="H55">
        <v>92</v>
      </c>
      <c r="I55">
        <v>7</v>
      </c>
      <c r="J55">
        <v>1</v>
      </c>
      <c r="K55">
        <v>12</v>
      </c>
      <c r="L55">
        <v>0.99</v>
      </c>
      <c r="M55">
        <v>0</v>
      </c>
      <c r="N55">
        <v>-4</v>
      </c>
      <c r="O55">
        <v>0</v>
      </c>
      <c r="P55">
        <v>0</v>
      </c>
      <c r="Q55">
        <v>8.25</v>
      </c>
      <c r="R55">
        <v>6.19</v>
      </c>
      <c r="S55" t="s">
        <v>70</v>
      </c>
      <c r="AC55" t="s">
        <v>225</v>
      </c>
      <c r="AD55">
        <v>1803</v>
      </c>
      <c r="AE55">
        <v>24280</v>
      </c>
    </row>
    <row r="56" spans="1:31">
      <c r="A56" s="1" t="s">
        <v>153</v>
      </c>
      <c r="B56">
        <v>28</v>
      </c>
      <c r="C56">
        <v>7</v>
      </c>
      <c r="D56">
        <v>3</v>
      </c>
      <c r="E56">
        <v>3</v>
      </c>
      <c r="F56">
        <v>39.1</v>
      </c>
      <c r="G56">
        <v>40</v>
      </c>
      <c r="H56">
        <v>38</v>
      </c>
      <c r="I56">
        <v>2</v>
      </c>
      <c r="J56">
        <v>0</v>
      </c>
      <c r="K56">
        <v>5</v>
      </c>
      <c r="L56">
        <v>1</v>
      </c>
      <c r="M56">
        <v>0</v>
      </c>
      <c r="N56">
        <v>3</v>
      </c>
      <c r="O56">
        <v>0</v>
      </c>
      <c r="P56">
        <v>0</v>
      </c>
      <c r="Q56">
        <v>9.15</v>
      </c>
      <c r="R56">
        <v>5.71</v>
      </c>
      <c r="S56" t="s">
        <v>64</v>
      </c>
      <c r="AC56" t="s">
        <v>143</v>
      </c>
      <c r="AD56">
        <v>170</v>
      </c>
      <c r="AE56">
        <v>2179</v>
      </c>
    </row>
    <row r="57" spans="1:31">
      <c r="J57">
        <f>SUM(J51:J56)</f>
        <v>25</v>
      </c>
      <c r="AC57" t="s">
        <v>226</v>
      </c>
      <c r="AE57">
        <f>AE47-AE48-3443-534</f>
        <v>14582</v>
      </c>
    </row>
    <row r="58" spans="1:31">
      <c r="C58" t="s">
        <v>162</v>
      </c>
      <c r="AC58" t="s">
        <v>227</v>
      </c>
      <c r="AE58" s="6">
        <f>AE57/(AE47-AE48)</f>
        <v>0.78571043698475129</v>
      </c>
    </row>
    <row r="59" spans="1:31">
      <c r="A59" s="1" t="s">
        <v>2</v>
      </c>
      <c r="B59" t="s">
        <v>3</v>
      </c>
      <c r="C59" t="s">
        <v>4</v>
      </c>
      <c r="D59" t="s">
        <v>80</v>
      </c>
      <c r="E59" t="s">
        <v>82</v>
      </c>
      <c r="F59" t="s">
        <v>138</v>
      </c>
      <c r="G59" t="s">
        <v>139</v>
      </c>
      <c r="H59" t="s">
        <v>140</v>
      </c>
      <c r="I59" t="s">
        <v>141</v>
      </c>
      <c r="J59" t="s">
        <v>142</v>
      </c>
      <c r="K59" t="s">
        <v>143</v>
      </c>
      <c r="L59" t="s">
        <v>144</v>
      </c>
      <c r="M59" t="s">
        <v>145</v>
      </c>
      <c r="N59" t="s">
        <v>146</v>
      </c>
      <c r="O59" t="s">
        <v>155</v>
      </c>
      <c r="P59" t="s">
        <v>156</v>
      </c>
      <c r="Q59" t="s">
        <v>148</v>
      </c>
      <c r="R59" t="s">
        <v>149</v>
      </c>
      <c r="S59" t="s">
        <v>28</v>
      </c>
      <c r="AC59" t="s">
        <v>228</v>
      </c>
      <c r="AD59">
        <f>(AD47-AD48)*AE58+AD49+AD50-AD51-AD52-AD53-AD54</f>
        <v>1488.637534349911</v>
      </c>
      <c r="AE59">
        <f>(AE47-AE48)*AE58+AE49+AE50-AE51-AE52-AE53-AE54</f>
        <v>20682</v>
      </c>
    </row>
    <row r="60" spans="1:31">
      <c r="A60" s="1" t="s">
        <v>160</v>
      </c>
      <c r="B60">
        <v>35</v>
      </c>
      <c r="C60">
        <v>91</v>
      </c>
      <c r="D60">
        <v>84</v>
      </c>
      <c r="E60">
        <v>62</v>
      </c>
      <c r="F60">
        <v>719.2</v>
      </c>
      <c r="G60">
        <v>439</v>
      </c>
      <c r="H60">
        <v>182</v>
      </c>
      <c r="I60">
        <v>249</v>
      </c>
      <c r="J60">
        <v>8</v>
      </c>
      <c r="K60">
        <v>65</v>
      </c>
      <c r="L60">
        <v>0.98199999999999998</v>
      </c>
      <c r="M60">
        <v>-8</v>
      </c>
      <c r="N60">
        <v>-14</v>
      </c>
      <c r="O60">
        <v>-9</v>
      </c>
      <c r="P60">
        <v>1</v>
      </c>
      <c r="Q60">
        <v>5.39</v>
      </c>
      <c r="R60">
        <v>4.74</v>
      </c>
      <c r="S60" t="s">
        <v>36</v>
      </c>
      <c r="AC60" t="s">
        <v>229</v>
      </c>
      <c r="AD60" s="4">
        <f>AD56/AD59</f>
        <v>0.11419838347300514</v>
      </c>
      <c r="AE60" s="4">
        <f>AE56/AE59</f>
        <v>0.10535731554008317</v>
      </c>
    </row>
    <row r="61" spans="1:31">
      <c r="A61" s="1" t="s">
        <v>176</v>
      </c>
      <c r="B61">
        <v>30</v>
      </c>
      <c r="C61">
        <v>97</v>
      </c>
      <c r="D61">
        <v>71</v>
      </c>
      <c r="E61">
        <v>64</v>
      </c>
      <c r="F61">
        <v>683.1</v>
      </c>
      <c r="G61">
        <v>438</v>
      </c>
      <c r="H61">
        <v>161</v>
      </c>
      <c r="I61">
        <v>266</v>
      </c>
      <c r="J61">
        <v>11</v>
      </c>
      <c r="K61">
        <v>48</v>
      </c>
      <c r="L61">
        <v>0.97499999999999998</v>
      </c>
      <c r="M61">
        <v>3</v>
      </c>
      <c r="N61">
        <v>6</v>
      </c>
      <c r="O61">
        <v>4</v>
      </c>
      <c r="P61">
        <v>-1</v>
      </c>
      <c r="Q61">
        <v>5.62</v>
      </c>
      <c r="R61">
        <v>4.4000000000000004</v>
      </c>
      <c r="S61" t="s">
        <v>58</v>
      </c>
      <c r="AC61" t="s">
        <v>230</v>
      </c>
      <c r="AD61">
        <f>AD55/AD46</f>
        <v>1.2396012375386734</v>
      </c>
      <c r="AE61" s="6">
        <f>AE55/AE46</f>
        <v>1.1972386587771202</v>
      </c>
    </row>
    <row r="62" spans="1:31">
      <c r="A62" s="1" t="s">
        <v>174</v>
      </c>
      <c r="B62">
        <v>31</v>
      </c>
      <c r="C62">
        <v>9</v>
      </c>
      <c r="D62">
        <v>7</v>
      </c>
      <c r="E62">
        <v>3</v>
      </c>
      <c r="F62">
        <v>55</v>
      </c>
      <c r="G62">
        <v>40</v>
      </c>
      <c r="H62">
        <v>14</v>
      </c>
      <c r="I62">
        <v>25</v>
      </c>
      <c r="J62">
        <v>1</v>
      </c>
      <c r="K62">
        <v>5</v>
      </c>
      <c r="L62">
        <v>0.97499999999999998</v>
      </c>
      <c r="M62">
        <v>2</v>
      </c>
      <c r="N62">
        <v>35</v>
      </c>
      <c r="O62">
        <v>2</v>
      </c>
      <c r="P62">
        <v>0</v>
      </c>
      <c r="Q62">
        <v>6.38</v>
      </c>
      <c r="R62">
        <v>4.33</v>
      </c>
      <c r="S62" t="s">
        <v>66</v>
      </c>
      <c r="AC62" t="s">
        <v>231</v>
      </c>
      <c r="AD62">
        <f>AD61/AE61</f>
        <v>1.0353835707283483</v>
      </c>
    </row>
    <row r="63" spans="1:31">
      <c r="J63">
        <f>SUM(J60:J62)</f>
        <v>20</v>
      </c>
      <c r="AC63" t="s">
        <v>232</v>
      </c>
      <c r="AD63">
        <f>AD59*AE60</f>
        <v>156.83885443131496</v>
      </c>
    </row>
    <row r="64" spans="1:31">
      <c r="C64" t="s">
        <v>163</v>
      </c>
      <c r="AC64" t="s">
        <v>233</v>
      </c>
      <c r="AD64">
        <f>AD63*AD62</f>
        <v>162.3883731300385</v>
      </c>
    </row>
    <row r="65" spans="1:19">
      <c r="A65" s="1" t="s">
        <v>2</v>
      </c>
      <c r="B65" t="s">
        <v>3</v>
      </c>
      <c r="C65" t="s">
        <v>4</v>
      </c>
      <c r="D65" t="s">
        <v>80</v>
      </c>
      <c r="E65" t="s">
        <v>82</v>
      </c>
      <c r="F65" t="s">
        <v>138</v>
      </c>
      <c r="G65" t="s">
        <v>139</v>
      </c>
      <c r="H65" t="s">
        <v>140</v>
      </c>
      <c r="I65" t="s">
        <v>141</v>
      </c>
      <c r="J65" t="s">
        <v>142</v>
      </c>
      <c r="K65" t="s">
        <v>143</v>
      </c>
      <c r="L65" t="s">
        <v>144</v>
      </c>
      <c r="M65" t="s">
        <v>145</v>
      </c>
      <c r="N65" t="s">
        <v>146</v>
      </c>
      <c r="O65" t="s">
        <v>155</v>
      </c>
      <c r="P65" t="s">
        <v>156</v>
      </c>
      <c r="Q65" t="s">
        <v>148</v>
      </c>
      <c r="R65" t="s">
        <v>149</v>
      </c>
      <c r="S65" t="s">
        <v>28</v>
      </c>
    </row>
    <row r="66" spans="1:19">
      <c r="A66" s="1" t="s">
        <v>177</v>
      </c>
      <c r="B66">
        <v>33</v>
      </c>
      <c r="C66">
        <v>140</v>
      </c>
      <c r="D66">
        <v>138</v>
      </c>
      <c r="E66">
        <v>122</v>
      </c>
      <c r="F66">
        <v>1201.0999999999999</v>
      </c>
      <c r="G66">
        <v>387</v>
      </c>
      <c r="H66">
        <v>107</v>
      </c>
      <c r="I66">
        <v>266</v>
      </c>
      <c r="J66">
        <v>14</v>
      </c>
      <c r="K66">
        <v>22</v>
      </c>
      <c r="L66">
        <v>0.96399999999999997</v>
      </c>
      <c r="M66">
        <v>-1</v>
      </c>
      <c r="N66">
        <v>-1</v>
      </c>
      <c r="O66">
        <v>-1</v>
      </c>
      <c r="P66">
        <v>0</v>
      </c>
      <c r="Q66">
        <v>2.79</v>
      </c>
      <c r="R66">
        <v>2.66</v>
      </c>
      <c r="S66" t="s">
        <v>41</v>
      </c>
    </row>
    <row r="67" spans="1:19">
      <c r="A67" s="1" t="s">
        <v>160</v>
      </c>
      <c r="B67">
        <v>35</v>
      </c>
      <c r="C67">
        <v>21</v>
      </c>
      <c r="D67">
        <v>12</v>
      </c>
      <c r="E67">
        <v>11</v>
      </c>
      <c r="F67">
        <v>130</v>
      </c>
      <c r="G67">
        <v>33</v>
      </c>
      <c r="H67">
        <v>9</v>
      </c>
      <c r="I67">
        <v>23</v>
      </c>
      <c r="J67">
        <v>1</v>
      </c>
      <c r="K67">
        <v>1</v>
      </c>
      <c r="L67">
        <v>0.97</v>
      </c>
      <c r="M67">
        <v>-1</v>
      </c>
      <c r="N67">
        <v>-6</v>
      </c>
      <c r="O67">
        <v>-1</v>
      </c>
      <c r="P67">
        <v>0</v>
      </c>
      <c r="Q67">
        <v>2.2200000000000002</v>
      </c>
      <c r="R67">
        <v>1.52</v>
      </c>
      <c r="S67" t="s">
        <v>36</v>
      </c>
    </row>
    <row r="68" spans="1:19">
      <c r="A68" s="1" t="s">
        <v>159</v>
      </c>
      <c r="B68">
        <v>31</v>
      </c>
      <c r="C68">
        <v>9</v>
      </c>
      <c r="D68">
        <v>7</v>
      </c>
      <c r="E68">
        <v>2</v>
      </c>
      <c r="F68">
        <v>58</v>
      </c>
      <c r="G68">
        <v>20</v>
      </c>
      <c r="H68">
        <v>9</v>
      </c>
      <c r="I68">
        <v>10</v>
      </c>
      <c r="J68">
        <v>1</v>
      </c>
      <c r="K68">
        <v>1</v>
      </c>
      <c r="L68">
        <v>0.95</v>
      </c>
      <c r="M68">
        <v>-1</v>
      </c>
      <c r="N68">
        <v>-19</v>
      </c>
      <c r="O68">
        <v>-1</v>
      </c>
      <c r="P68">
        <v>0</v>
      </c>
      <c r="Q68">
        <v>2.95</v>
      </c>
      <c r="R68">
        <v>2.11</v>
      </c>
      <c r="S68" t="s">
        <v>68</v>
      </c>
    </row>
    <row r="69" spans="1:19">
      <c r="A69" s="1" t="s">
        <v>174</v>
      </c>
      <c r="B69">
        <v>31</v>
      </c>
      <c r="C69">
        <v>13</v>
      </c>
      <c r="D69">
        <v>2</v>
      </c>
      <c r="E69">
        <v>1</v>
      </c>
      <c r="F69">
        <v>43</v>
      </c>
      <c r="G69">
        <v>15</v>
      </c>
      <c r="H69">
        <v>3</v>
      </c>
      <c r="I69">
        <v>11</v>
      </c>
      <c r="J69">
        <v>1</v>
      </c>
      <c r="K69">
        <v>0</v>
      </c>
      <c r="L69">
        <v>0.93300000000000005</v>
      </c>
      <c r="M69">
        <v>-1</v>
      </c>
      <c r="N69">
        <v>-33</v>
      </c>
      <c r="O69">
        <v>-1</v>
      </c>
      <c r="P69">
        <v>0</v>
      </c>
      <c r="Q69">
        <v>2.93</v>
      </c>
      <c r="R69">
        <v>1.08</v>
      </c>
      <c r="S69" t="s">
        <v>66</v>
      </c>
    </row>
    <row r="70" spans="1:19">
      <c r="A70" s="1" t="s">
        <v>172</v>
      </c>
      <c r="B70">
        <v>33</v>
      </c>
      <c r="C70">
        <v>3</v>
      </c>
      <c r="D70">
        <v>2</v>
      </c>
      <c r="E70">
        <v>1</v>
      </c>
      <c r="F70">
        <v>17</v>
      </c>
      <c r="G70">
        <v>1</v>
      </c>
      <c r="H70">
        <v>1</v>
      </c>
      <c r="I70">
        <v>0</v>
      </c>
      <c r="J70">
        <v>0</v>
      </c>
      <c r="K70">
        <v>0</v>
      </c>
      <c r="L70">
        <v>1</v>
      </c>
      <c r="M70">
        <v>-1</v>
      </c>
      <c r="N70">
        <v>-99</v>
      </c>
      <c r="O70">
        <v>-1</v>
      </c>
      <c r="P70">
        <v>0</v>
      </c>
      <c r="Q70">
        <v>0.53</v>
      </c>
      <c r="R70">
        <v>0.33</v>
      </c>
      <c r="S70" t="s">
        <v>73</v>
      </c>
    </row>
    <row r="71" spans="1:19">
      <c r="J71">
        <f>SUM(J66:J70)</f>
        <v>17</v>
      </c>
    </row>
    <row r="72" spans="1:19">
      <c r="C72" t="s">
        <v>164</v>
      </c>
    </row>
    <row r="73" spans="1:19">
      <c r="A73" s="1" t="s">
        <v>2</v>
      </c>
      <c r="B73" t="s">
        <v>3</v>
      </c>
      <c r="C73" t="s">
        <v>4</v>
      </c>
      <c r="D73" t="s">
        <v>80</v>
      </c>
      <c r="E73" t="s">
        <v>82</v>
      </c>
      <c r="F73" t="s">
        <v>138</v>
      </c>
      <c r="G73" t="s">
        <v>139</v>
      </c>
      <c r="H73" t="s">
        <v>140</v>
      </c>
      <c r="I73" t="s">
        <v>141</v>
      </c>
      <c r="J73" t="s">
        <v>142</v>
      </c>
      <c r="K73" t="s">
        <v>143</v>
      </c>
      <c r="L73" t="s">
        <v>144</v>
      </c>
      <c r="M73" t="s">
        <v>145</v>
      </c>
      <c r="N73" t="s">
        <v>146</v>
      </c>
      <c r="O73" t="s">
        <v>155</v>
      </c>
      <c r="P73" t="s">
        <v>156</v>
      </c>
      <c r="Q73" t="s">
        <v>148</v>
      </c>
      <c r="R73" t="s">
        <v>149</v>
      </c>
      <c r="S73" t="s">
        <v>28</v>
      </c>
    </row>
    <row r="74" spans="1:19">
      <c r="A74" s="1" t="s">
        <v>175</v>
      </c>
      <c r="B74">
        <v>21</v>
      </c>
      <c r="C74">
        <v>140</v>
      </c>
      <c r="D74">
        <v>136</v>
      </c>
      <c r="E74">
        <v>94</v>
      </c>
      <c r="F74">
        <v>1156.0999999999999</v>
      </c>
      <c r="G74">
        <v>650</v>
      </c>
      <c r="H74">
        <v>218</v>
      </c>
      <c r="I74">
        <v>420</v>
      </c>
      <c r="J74">
        <v>12</v>
      </c>
      <c r="K74">
        <v>95</v>
      </c>
      <c r="L74">
        <v>0.98199999999999998</v>
      </c>
      <c r="M74">
        <v>-1</v>
      </c>
      <c r="N74">
        <v>-1</v>
      </c>
      <c r="O74">
        <v>-2</v>
      </c>
      <c r="P74">
        <v>1</v>
      </c>
      <c r="Q74">
        <v>4.97</v>
      </c>
      <c r="R74">
        <v>4.5599999999999996</v>
      </c>
      <c r="S74" t="s">
        <v>39</v>
      </c>
    </row>
    <row r="75" spans="1:19">
      <c r="A75" s="1" t="s">
        <v>174</v>
      </c>
      <c r="B75">
        <v>31</v>
      </c>
      <c r="C75">
        <v>66</v>
      </c>
      <c r="D75">
        <v>26</v>
      </c>
      <c r="E75">
        <v>18</v>
      </c>
      <c r="F75">
        <v>288.2</v>
      </c>
      <c r="G75">
        <v>154</v>
      </c>
      <c r="H75">
        <v>51</v>
      </c>
      <c r="I75">
        <v>99</v>
      </c>
      <c r="J75">
        <v>4</v>
      </c>
      <c r="K75">
        <v>17</v>
      </c>
      <c r="L75">
        <v>0.97399999999999998</v>
      </c>
      <c r="M75">
        <v>0</v>
      </c>
      <c r="N75">
        <v>0</v>
      </c>
      <c r="O75">
        <v>2</v>
      </c>
      <c r="P75">
        <v>-2</v>
      </c>
      <c r="Q75">
        <v>4.68</v>
      </c>
      <c r="R75">
        <v>2.27</v>
      </c>
      <c r="S75" t="s">
        <v>66</v>
      </c>
    </row>
    <row r="76" spans="1:19">
      <c r="A76" s="1" t="s">
        <v>172</v>
      </c>
      <c r="B76">
        <v>33</v>
      </c>
      <c r="C76">
        <v>4</v>
      </c>
      <c r="D76">
        <v>0</v>
      </c>
      <c r="E76">
        <v>0</v>
      </c>
      <c r="F76">
        <v>6.2</v>
      </c>
      <c r="G76">
        <v>4</v>
      </c>
      <c r="H76">
        <v>3</v>
      </c>
      <c r="I76">
        <v>1</v>
      </c>
      <c r="J76">
        <v>0</v>
      </c>
      <c r="K76">
        <v>1</v>
      </c>
      <c r="L76">
        <v>1</v>
      </c>
      <c r="M76">
        <v>-1</v>
      </c>
      <c r="N76">
        <v>-90</v>
      </c>
      <c r="O76">
        <v>-1</v>
      </c>
      <c r="P76">
        <v>0</v>
      </c>
      <c r="Q76">
        <v>5.4</v>
      </c>
      <c r="R76">
        <v>1</v>
      </c>
      <c r="S76" t="s">
        <v>73</v>
      </c>
    </row>
    <row r="77" spans="1:19">
      <c r="A77" s="1" t="s">
        <v>176</v>
      </c>
      <c r="B77">
        <v>30</v>
      </c>
      <c r="C77">
        <v>4</v>
      </c>
      <c r="D77">
        <v>0</v>
      </c>
      <c r="E77">
        <v>0</v>
      </c>
      <c r="F77">
        <v>6.1</v>
      </c>
      <c r="G77">
        <v>4</v>
      </c>
      <c r="H77">
        <v>1</v>
      </c>
      <c r="I77">
        <v>2</v>
      </c>
      <c r="J77">
        <v>1</v>
      </c>
      <c r="K77">
        <v>0</v>
      </c>
      <c r="L77">
        <v>0.75</v>
      </c>
      <c r="M77">
        <v>-1</v>
      </c>
      <c r="N77">
        <v>-189</v>
      </c>
      <c r="O77">
        <v>-1</v>
      </c>
      <c r="P77">
        <v>0</v>
      </c>
      <c r="Q77">
        <v>4.26</v>
      </c>
      <c r="R77">
        <v>0.75</v>
      </c>
      <c r="S77" t="s">
        <v>58</v>
      </c>
    </row>
    <row r="78" spans="1:19">
      <c r="J78">
        <f>SUM(J74:J77)</f>
        <v>17</v>
      </c>
    </row>
    <row r="79" spans="1:19">
      <c r="C79" t="s">
        <v>165</v>
      </c>
    </row>
    <row r="80" spans="1:19">
      <c r="A80" s="1" t="s">
        <v>2</v>
      </c>
      <c r="B80" t="s">
        <v>3</v>
      </c>
      <c r="C80" t="s">
        <v>4</v>
      </c>
      <c r="D80" t="s">
        <v>80</v>
      </c>
      <c r="E80" t="s">
        <v>82</v>
      </c>
      <c r="F80" t="s">
        <v>138</v>
      </c>
      <c r="G80" t="s">
        <v>139</v>
      </c>
      <c r="H80" t="s">
        <v>140</v>
      </c>
      <c r="I80" t="s">
        <v>141</v>
      </c>
      <c r="J80" t="s">
        <v>142</v>
      </c>
      <c r="K80" t="s">
        <v>143</v>
      </c>
      <c r="L80" t="s">
        <v>144</v>
      </c>
      <c r="M80" t="s">
        <v>145</v>
      </c>
      <c r="N80" t="s">
        <v>146</v>
      </c>
      <c r="O80" t="s">
        <v>155</v>
      </c>
      <c r="P80" t="s">
        <v>166</v>
      </c>
      <c r="Q80" t="s">
        <v>148</v>
      </c>
      <c r="R80" t="s">
        <v>149</v>
      </c>
      <c r="S80" t="s">
        <v>28</v>
      </c>
    </row>
    <row r="81" spans="1:19">
      <c r="A81" s="1" t="s">
        <v>167</v>
      </c>
      <c r="B81">
        <v>32</v>
      </c>
      <c r="C81">
        <v>140</v>
      </c>
      <c r="D81">
        <v>135</v>
      </c>
      <c r="E81">
        <v>94</v>
      </c>
      <c r="F81">
        <v>1202</v>
      </c>
      <c r="G81">
        <v>339</v>
      </c>
      <c r="H81">
        <v>321</v>
      </c>
      <c r="I81">
        <v>12</v>
      </c>
      <c r="J81">
        <v>6</v>
      </c>
      <c r="K81">
        <v>5</v>
      </c>
      <c r="L81">
        <v>0.98199999999999998</v>
      </c>
      <c r="M81">
        <v>-2</v>
      </c>
      <c r="N81">
        <v>-2</v>
      </c>
      <c r="O81">
        <v>-2</v>
      </c>
      <c r="P81">
        <v>0</v>
      </c>
      <c r="Q81">
        <v>2.4900000000000002</v>
      </c>
      <c r="R81">
        <v>2.38</v>
      </c>
      <c r="S81" t="s">
        <v>50</v>
      </c>
    </row>
    <row r="82" spans="1:19">
      <c r="A82" s="1" t="s">
        <v>168</v>
      </c>
      <c r="B82">
        <v>33</v>
      </c>
      <c r="C82">
        <v>131</v>
      </c>
      <c r="D82">
        <v>131</v>
      </c>
      <c r="E82">
        <v>93</v>
      </c>
      <c r="F82">
        <v>1106</v>
      </c>
      <c r="G82">
        <v>277</v>
      </c>
      <c r="H82">
        <v>272</v>
      </c>
      <c r="I82">
        <v>5</v>
      </c>
      <c r="J82">
        <v>0</v>
      </c>
      <c r="K82">
        <v>0</v>
      </c>
      <c r="L82">
        <v>1</v>
      </c>
      <c r="M82">
        <v>0</v>
      </c>
      <c r="N82">
        <v>0</v>
      </c>
      <c r="O82">
        <v>-1</v>
      </c>
      <c r="P82">
        <v>1</v>
      </c>
      <c r="Q82">
        <v>2.25</v>
      </c>
      <c r="R82">
        <v>2.11</v>
      </c>
      <c r="S82" t="s">
        <v>44</v>
      </c>
    </row>
    <row r="83" spans="1:19">
      <c r="A83" s="1" t="s">
        <v>169</v>
      </c>
      <c r="B83">
        <v>26</v>
      </c>
      <c r="C83">
        <v>134</v>
      </c>
      <c r="D83">
        <v>98</v>
      </c>
      <c r="E83">
        <v>92</v>
      </c>
      <c r="F83">
        <v>950</v>
      </c>
      <c r="G83">
        <v>354</v>
      </c>
      <c r="H83">
        <v>337</v>
      </c>
      <c r="I83">
        <v>11</v>
      </c>
      <c r="J83">
        <v>6</v>
      </c>
      <c r="K83">
        <v>4</v>
      </c>
      <c r="L83">
        <v>0.98299999999999998</v>
      </c>
      <c r="M83">
        <v>9</v>
      </c>
      <c r="N83">
        <v>11</v>
      </c>
      <c r="O83">
        <v>8</v>
      </c>
      <c r="P83">
        <v>1</v>
      </c>
      <c r="Q83">
        <v>3.3</v>
      </c>
      <c r="R83">
        <v>2.6</v>
      </c>
      <c r="S83" t="s">
        <v>47</v>
      </c>
    </row>
    <row r="84" spans="1:19">
      <c r="A84" s="1" t="s">
        <v>170</v>
      </c>
      <c r="B84">
        <v>34</v>
      </c>
      <c r="C84">
        <v>98</v>
      </c>
      <c r="D84">
        <v>82</v>
      </c>
      <c r="E84">
        <v>50</v>
      </c>
      <c r="F84">
        <v>744.1</v>
      </c>
      <c r="G84">
        <v>208</v>
      </c>
      <c r="H84">
        <v>197</v>
      </c>
      <c r="I84">
        <v>5</v>
      </c>
      <c r="J84">
        <v>6</v>
      </c>
      <c r="K84">
        <v>1</v>
      </c>
      <c r="L84">
        <v>0.97099999999999997</v>
      </c>
      <c r="M84">
        <v>2</v>
      </c>
      <c r="N84">
        <v>2</v>
      </c>
      <c r="O84">
        <v>3</v>
      </c>
      <c r="P84">
        <v>-1</v>
      </c>
      <c r="Q84">
        <v>2.44</v>
      </c>
      <c r="R84">
        <v>2.06</v>
      </c>
      <c r="S84" t="s">
        <v>56</v>
      </c>
    </row>
    <row r="85" spans="1:19">
      <c r="A85" s="1" t="s">
        <v>171</v>
      </c>
      <c r="B85">
        <v>24</v>
      </c>
      <c r="C85">
        <v>44</v>
      </c>
      <c r="D85">
        <v>33</v>
      </c>
      <c r="E85">
        <v>22</v>
      </c>
      <c r="F85">
        <v>300</v>
      </c>
      <c r="G85">
        <v>63</v>
      </c>
      <c r="H85">
        <v>57</v>
      </c>
      <c r="I85">
        <v>4</v>
      </c>
      <c r="J85">
        <v>2</v>
      </c>
      <c r="K85">
        <v>0</v>
      </c>
      <c r="L85">
        <v>0.96799999999999997</v>
      </c>
      <c r="M85">
        <v>-2</v>
      </c>
      <c r="N85">
        <v>-7</v>
      </c>
      <c r="O85">
        <v>-3</v>
      </c>
      <c r="P85">
        <v>1</v>
      </c>
      <c r="Q85">
        <v>1.83</v>
      </c>
      <c r="R85">
        <v>1.39</v>
      </c>
      <c r="S85" t="s">
        <v>62</v>
      </c>
    </row>
    <row r="86" spans="1:19">
      <c r="A86" s="1" t="s">
        <v>172</v>
      </c>
      <c r="B86">
        <v>33</v>
      </c>
      <c r="C86">
        <v>7</v>
      </c>
      <c r="D86">
        <v>4</v>
      </c>
      <c r="E86">
        <v>3</v>
      </c>
      <c r="F86">
        <v>39</v>
      </c>
      <c r="G86">
        <v>9</v>
      </c>
      <c r="H86">
        <v>8</v>
      </c>
      <c r="I86">
        <v>0</v>
      </c>
      <c r="J86">
        <v>1</v>
      </c>
      <c r="K86">
        <v>0</v>
      </c>
      <c r="L86">
        <v>0.88900000000000001</v>
      </c>
      <c r="M86">
        <v>0</v>
      </c>
      <c r="N86">
        <v>3</v>
      </c>
      <c r="O86">
        <v>0</v>
      </c>
      <c r="P86">
        <v>0</v>
      </c>
      <c r="Q86">
        <v>1.85</v>
      </c>
      <c r="R86">
        <v>1.1399999999999999</v>
      </c>
      <c r="S86" t="s">
        <v>73</v>
      </c>
    </row>
    <row r="87" spans="1:19">
      <c r="A87" s="1" t="s">
        <v>173</v>
      </c>
      <c r="B87">
        <v>38</v>
      </c>
      <c r="C87">
        <v>3</v>
      </c>
      <c r="D87">
        <v>3</v>
      </c>
      <c r="E87">
        <v>2</v>
      </c>
      <c r="F87">
        <v>26.2</v>
      </c>
      <c r="G87">
        <v>7</v>
      </c>
      <c r="H87">
        <v>7</v>
      </c>
      <c r="I87">
        <v>0</v>
      </c>
      <c r="J87">
        <v>0</v>
      </c>
      <c r="K87">
        <v>0</v>
      </c>
      <c r="L87">
        <v>1</v>
      </c>
      <c r="M87">
        <v>0</v>
      </c>
      <c r="N87">
        <v>14</v>
      </c>
      <c r="O87">
        <v>0</v>
      </c>
      <c r="P87">
        <v>0</v>
      </c>
      <c r="Q87">
        <v>2.36</v>
      </c>
      <c r="R87">
        <v>2.33</v>
      </c>
      <c r="S87" t="s">
        <v>53</v>
      </c>
    </row>
    <row r="88" spans="1:19">
      <c r="A88" s="1" t="s">
        <v>174</v>
      </c>
      <c r="B88">
        <v>31</v>
      </c>
      <c r="C88">
        <v>1</v>
      </c>
      <c r="D88">
        <v>0</v>
      </c>
      <c r="E88">
        <v>0</v>
      </c>
      <c r="F88">
        <v>4</v>
      </c>
      <c r="G88">
        <v>1</v>
      </c>
      <c r="H88">
        <v>1</v>
      </c>
      <c r="I88">
        <v>0</v>
      </c>
      <c r="J88">
        <v>0</v>
      </c>
      <c r="K88">
        <v>0</v>
      </c>
      <c r="L88">
        <v>1</v>
      </c>
      <c r="M88">
        <v>0</v>
      </c>
      <c r="N88">
        <v>0</v>
      </c>
      <c r="O88">
        <v>0</v>
      </c>
      <c r="P88">
        <v>0</v>
      </c>
      <c r="Q88">
        <v>2.25</v>
      </c>
      <c r="R88">
        <v>1</v>
      </c>
      <c r="S88" t="s">
        <v>66</v>
      </c>
    </row>
    <row r="89" spans="1:19">
      <c r="A89" s="1" t="s">
        <v>159</v>
      </c>
      <c r="B89">
        <v>31</v>
      </c>
      <c r="C89">
        <v>1</v>
      </c>
      <c r="D89">
        <v>0</v>
      </c>
      <c r="E89">
        <v>0</v>
      </c>
      <c r="F89">
        <v>1</v>
      </c>
      <c r="G89">
        <v>1</v>
      </c>
      <c r="H89">
        <v>1</v>
      </c>
      <c r="I89">
        <v>0</v>
      </c>
      <c r="J89">
        <v>0</v>
      </c>
      <c r="K89">
        <v>0</v>
      </c>
      <c r="L89">
        <v>1</v>
      </c>
      <c r="M89">
        <v>0</v>
      </c>
      <c r="N89">
        <v>-240</v>
      </c>
      <c r="O89">
        <v>0</v>
      </c>
      <c r="P89">
        <v>0</v>
      </c>
      <c r="Q89">
        <v>9</v>
      </c>
      <c r="R89">
        <v>1</v>
      </c>
      <c r="S89" t="s">
        <v>68</v>
      </c>
    </row>
    <row r="90" spans="1:19">
      <c r="A90" s="1" t="s">
        <v>161</v>
      </c>
      <c r="B90">
        <v>26</v>
      </c>
      <c r="C90">
        <v>1</v>
      </c>
      <c r="D90">
        <v>0</v>
      </c>
      <c r="E90">
        <v>0</v>
      </c>
      <c r="F90">
        <v>1</v>
      </c>
      <c r="G90">
        <v>0</v>
      </c>
      <c r="H90">
        <v>0</v>
      </c>
      <c r="I90">
        <v>0</v>
      </c>
      <c r="J90">
        <v>0</v>
      </c>
      <c r="K90">
        <v>0</v>
      </c>
      <c r="M90">
        <v>0</v>
      </c>
      <c r="N90">
        <v>0</v>
      </c>
      <c r="O90">
        <v>0</v>
      </c>
      <c r="Q90">
        <v>0</v>
      </c>
      <c r="R90">
        <v>0</v>
      </c>
      <c r="S90" t="s">
        <v>70</v>
      </c>
    </row>
    <row r="91" spans="1:19">
      <c r="J91">
        <f>SUM(J81:J90)</f>
        <v>21</v>
      </c>
    </row>
    <row r="93" spans="1:19">
      <c r="C93" t="s">
        <v>178</v>
      </c>
      <c r="D93">
        <v>716</v>
      </c>
      <c r="N93" t="s">
        <v>199</v>
      </c>
      <c r="O93">
        <v>0.69699999999999995</v>
      </c>
    </row>
    <row r="94" spans="1:19">
      <c r="C94" t="s">
        <v>179</v>
      </c>
      <c r="D94">
        <f>H21</f>
        <v>696</v>
      </c>
      <c r="N94" t="s">
        <v>200</v>
      </c>
      <c r="O94">
        <v>0.69899999999999995</v>
      </c>
    </row>
    <row r="95" spans="1:19">
      <c r="C95" t="s">
        <v>180</v>
      </c>
      <c r="D95">
        <f>Q42</f>
        <v>667</v>
      </c>
      <c r="N95" t="s">
        <v>201</v>
      </c>
      <c r="O95">
        <f>100+(O93-O94)*2500</f>
        <v>95</v>
      </c>
    </row>
    <row r="96" spans="1:19">
      <c r="C96" t="s">
        <v>181</v>
      </c>
      <c r="D96">
        <f>D94-D93*0.52</f>
        <v>323.68</v>
      </c>
      <c r="N96" t="s">
        <v>202</v>
      </c>
      <c r="O96">
        <f>((V42*9/O42)+2.5)*200/7</f>
        <v>204.72916564356925</v>
      </c>
    </row>
    <row r="97" spans="3:26">
      <c r="C97" t="s">
        <v>182</v>
      </c>
      <c r="D97">
        <f>D93*1.52-D95</f>
        <v>421.31999999999994</v>
      </c>
      <c r="N97" t="s">
        <v>203</v>
      </c>
      <c r="O97">
        <f>(T42+W42)*9/O42</f>
        <v>3.1000343760742526</v>
      </c>
      <c r="R97" t="s">
        <v>205</v>
      </c>
      <c r="S97" t="s">
        <v>206</v>
      </c>
      <c r="T97" t="s">
        <v>207</v>
      </c>
      <c r="U97" t="s">
        <v>11</v>
      </c>
    </row>
    <row r="98" spans="3:26">
      <c r="C98" t="s">
        <v>183</v>
      </c>
      <c r="D98">
        <f>D97+D96</f>
        <v>745</v>
      </c>
      <c r="N98" t="s">
        <v>204</v>
      </c>
      <c r="O98" s="5">
        <f>(R98+S98)*9/T98</f>
        <v>3.3683431952662723</v>
      </c>
      <c r="R98">
        <v>7171</v>
      </c>
      <c r="S98">
        <v>419</v>
      </c>
      <c r="T98">
        <v>20280</v>
      </c>
      <c r="U98">
        <v>1980</v>
      </c>
    </row>
    <row r="99" spans="3:26">
      <c r="C99" t="s">
        <v>184</v>
      </c>
      <c r="D99">
        <f>E42</f>
        <v>84</v>
      </c>
      <c r="N99" t="s">
        <v>208</v>
      </c>
      <c r="O99">
        <f>O42*O98/9-T42-W42+200</f>
        <v>243.36168639053244</v>
      </c>
    </row>
    <row r="100" spans="3:26">
      <c r="C100" t="s">
        <v>185</v>
      </c>
      <c r="D100">
        <f>D99*3</f>
        <v>252</v>
      </c>
      <c r="N100" t="s">
        <v>94</v>
      </c>
      <c r="O100" s="5">
        <f>S42*9/O42</f>
        <v>0.75489859058095576</v>
      </c>
      <c r="R100" t="s">
        <v>212</v>
      </c>
      <c r="S100" t="s">
        <v>213</v>
      </c>
      <c r="T100" t="s">
        <v>211</v>
      </c>
      <c r="U100" t="s">
        <v>214</v>
      </c>
      <c r="V100" t="s">
        <v>215</v>
      </c>
      <c r="W100" t="s">
        <v>217</v>
      </c>
      <c r="Z100" t="s">
        <v>218</v>
      </c>
    </row>
    <row r="101" spans="3:26">
      <c r="C101" t="s">
        <v>186</v>
      </c>
      <c r="D101">
        <f>D100*D96/D98</f>
        <v>109.48638926174496</v>
      </c>
      <c r="N101" t="s">
        <v>209</v>
      </c>
      <c r="O101" s="5">
        <f>U98*9/T98</f>
        <v>0.87869822485207105</v>
      </c>
      <c r="R101">
        <v>15</v>
      </c>
      <c r="S101">
        <f>R101+J48+J57+J63+J71+J78+J91</f>
        <v>128</v>
      </c>
      <c r="T101">
        <f>R48</f>
        <v>4</v>
      </c>
      <c r="U101">
        <v>1853</v>
      </c>
      <c r="V101">
        <v>148</v>
      </c>
      <c r="W101" s="4">
        <f>(S101+T101*0.2)/O42</f>
        <v>8.8552767273977331E-2</v>
      </c>
      <c r="Z101" s="4">
        <f>(U101+V101*0.5)/T98</f>
        <v>9.5019723865877717E-2</v>
      </c>
    </row>
    <row r="102" spans="3:26">
      <c r="C102" t="s">
        <v>187</v>
      </c>
      <c r="D102">
        <f>D100*D97/D98</f>
        <v>142.51361073825501</v>
      </c>
      <c r="N102" t="s">
        <v>210</v>
      </c>
      <c r="O102">
        <f>(O101*O42/9-S42)*5+200</f>
        <v>300.03698224852059</v>
      </c>
    </row>
    <row r="103" spans="3:26">
      <c r="N103" t="s">
        <v>216</v>
      </c>
      <c r="O103">
        <f>100+(O42*Z101)-S101-T101*0.5</f>
        <v>108.20618836291911</v>
      </c>
    </row>
    <row r="104" spans="3:26">
      <c r="C104" t="s">
        <v>192</v>
      </c>
      <c r="D104">
        <v>10027</v>
      </c>
      <c r="N104" t="s">
        <v>234</v>
      </c>
      <c r="O104">
        <f>100+4*(AD56-AD64)/3</f>
        <v>110.14883582661533</v>
      </c>
    </row>
    <row r="105" spans="3:26">
      <c r="C105" t="s">
        <v>193</v>
      </c>
      <c r="D105">
        <f>77910-20539+738+1774+626+716</f>
        <v>61225</v>
      </c>
    </row>
    <row r="106" spans="3:26">
      <c r="C106" t="s">
        <v>194</v>
      </c>
      <c r="D106">
        <f>D104/D105</f>
        <v>0.16377296855859536</v>
      </c>
      <c r="N106" t="s">
        <v>235</v>
      </c>
      <c r="O106" s="4">
        <f>(O95+O96+O99+O102+650+(E42/(E42+F42))*405)/(O95*2+O96+O99+O102+O103+O104+1097.5+(E42/(E42+F42))*405)</f>
        <v>0.6912092867962083</v>
      </c>
    </row>
    <row r="107" spans="3:26">
      <c r="N107" t="s">
        <v>236</v>
      </c>
      <c r="O107" s="4">
        <f>1-O106</f>
        <v>0.3087907132037917</v>
      </c>
    </row>
    <row r="108" spans="3:26">
      <c r="C108" t="s">
        <v>239</v>
      </c>
      <c r="D108">
        <f>D93/162</f>
        <v>4.4197530864197532</v>
      </c>
    </row>
    <row r="109" spans="3:26">
      <c r="C109" t="s">
        <v>241</v>
      </c>
      <c r="D109">
        <f>D108*1.52-D95/162</f>
        <v>2.6007407407407408</v>
      </c>
      <c r="N109" t="s">
        <v>237</v>
      </c>
      <c r="O109" s="5">
        <f>D102*O106</f>
        <v>98.506731237141693</v>
      </c>
    </row>
    <row r="110" spans="3:26">
      <c r="C110" t="s">
        <v>242</v>
      </c>
      <c r="D110">
        <f>D109*O107</f>
        <v>0.80308458819149087</v>
      </c>
      <c r="N110" t="s">
        <v>238</v>
      </c>
      <c r="O110" s="5">
        <f>D102*O107</f>
        <v>44.00687950111331</v>
      </c>
    </row>
    <row r="111" spans="3:26">
      <c r="C111" t="s">
        <v>243</v>
      </c>
      <c r="D111">
        <f>D108*1.52-D110</f>
        <v>5.9149401031665336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96141-CECD-40A1-BF2E-28309E2022D2}">
  <dimension ref="A1:G12"/>
  <sheetViews>
    <sheetView tabSelected="1" workbookViewId="0">
      <selection activeCell="F6" sqref="F6"/>
    </sheetView>
  </sheetViews>
  <sheetFormatPr defaultRowHeight="14.4"/>
  <cols>
    <col min="6" max="6" width="9.77734375" bestFit="1" customWidth="1"/>
  </cols>
  <sheetData>
    <row r="1" spans="1:7">
      <c r="A1" t="s">
        <v>185</v>
      </c>
      <c r="B1" t="s">
        <v>262</v>
      </c>
      <c r="C1" t="s">
        <v>263</v>
      </c>
      <c r="E1" t="s">
        <v>269</v>
      </c>
      <c r="F1" t="s">
        <v>270</v>
      </c>
    </row>
    <row r="2" spans="1:7">
      <c r="A2" t="s">
        <v>264</v>
      </c>
      <c r="B2">
        <v>90</v>
      </c>
      <c r="C2">
        <v>96.9</v>
      </c>
      <c r="D2">
        <f>C2-B2</f>
        <v>6.9000000000000057</v>
      </c>
      <c r="E2">
        <v>96.5</v>
      </c>
      <c r="F2">
        <v>98.5</v>
      </c>
    </row>
    <row r="3" spans="1:7">
      <c r="A3" t="s">
        <v>242</v>
      </c>
      <c r="B3">
        <v>43</v>
      </c>
      <c r="C3">
        <v>45.6</v>
      </c>
      <c r="D3">
        <f>C3-B3</f>
        <v>2.6000000000000014</v>
      </c>
      <c r="E3">
        <v>46</v>
      </c>
      <c r="F3">
        <v>44</v>
      </c>
      <c r="G3">
        <f>F3-B3</f>
        <v>1</v>
      </c>
    </row>
    <row r="5" spans="1:7">
      <c r="A5" t="s">
        <v>265</v>
      </c>
      <c r="B5">
        <v>13.3</v>
      </c>
      <c r="C5">
        <v>21.1</v>
      </c>
      <c r="D5">
        <f>C5-B5</f>
        <v>7.8000000000000007</v>
      </c>
      <c r="E5">
        <v>21</v>
      </c>
      <c r="F5">
        <v>21.4</v>
      </c>
      <c r="G5">
        <f>F5-B5</f>
        <v>8.0999999999999979</v>
      </c>
    </row>
    <row r="6" spans="1:7">
      <c r="A6" t="s">
        <v>266</v>
      </c>
      <c r="B6">
        <f>B2-B5</f>
        <v>76.7</v>
      </c>
      <c r="C6">
        <f>C2-C5</f>
        <v>75.800000000000011</v>
      </c>
      <c r="D6">
        <f>C6-B6</f>
        <v>-0.89999999999999147</v>
      </c>
      <c r="E6">
        <v>75.5</v>
      </c>
      <c r="F6">
        <f>F2-F5</f>
        <v>77.099999999999994</v>
      </c>
      <c r="G6">
        <f>F6-B6</f>
        <v>0.39999999999999147</v>
      </c>
    </row>
    <row r="8" spans="1:7">
      <c r="A8" t="s">
        <v>267</v>
      </c>
      <c r="B8">
        <v>0.67600000000000005</v>
      </c>
      <c r="C8">
        <v>0.68</v>
      </c>
      <c r="E8">
        <v>0.67700000000000005</v>
      </c>
      <c r="F8">
        <v>0.69099999999999995</v>
      </c>
    </row>
    <row r="10" spans="1:7">
      <c r="A10" t="s">
        <v>268</v>
      </c>
      <c r="B10">
        <v>110</v>
      </c>
      <c r="C10">
        <v>109.5</v>
      </c>
      <c r="D10">
        <f>C10-B10</f>
        <v>-0.5</v>
      </c>
      <c r="E10">
        <v>109.5</v>
      </c>
      <c r="F10">
        <v>109.5</v>
      </c>
      <c r="G10">
        <f>F10-B10</f>
        <v>-0.5</v>
      </c>
    </row>
    <row r="12" spans="1:7">
      <c r="A12" t="s">
        <v>185</v>
      </c>
      <c r="D12">
        <f>D10+D3+D2</f>
        <v>9.0000000000000071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1984Angels</vt:lpstr>
      <vt:lpstr>Change</vt:lpstr>
      <vt:lpstr>Difference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Smith</dc:creator>
  <cp:lastModifiedBy>rally</cp:lastModifiedBy>
  <dcterms:created xsi:type="dcterms:W3CDTF">2015-06-05T18:17:20Z</dcterms:created>
  <dcterms:modified xsi:type="dcterms:W3CDTF">2022-12-12T22:15:36Z</dcterms:modified>
</cp:coreProperties>
</file>